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ปก" sheetId="1" r:id="rId5"/>
    <sheet state="visible" name="คำชี้แจง" sheetId="2" r:id="rId6"/>
    <sheet state="visible" name="สรุปรายประเภท-กลุ่ม" sheetId="3" r:id="rId7"/>
    <sheet state="visible" name="บัญชีแจ้งหน่วยงาน" sheetId="4" r:id="rId8"/>
    <sheet state="visible" name="ค้นหารายการ" sheetId="5" r:id="rId9"/>
    <sheet state="visible" name="สำเนาของ ค้นหารายการ" sheetId="6" r:id="rId10"/>
  </sheets>
  <definedNames>
    <definedName name="ออ">#REF!</definedName>
    <definedName name="ดดดดดดด">#REF!</definedName>
    <definedName name="org_new">#REF!</definedName>
    <definedName name="แ572">#REF!</definedName>
    <definedName name="org_data">#REF!</definedName>
    <definedName name="ฤ3947">#REF!</definedName>
    <definedName name="cc">#REF!</definedName>
    <definedName hidden="1" localSheetId="2" name="_xlnm._FilterDatabase">'สรุปรายประเภท-กลุ่ม'!$A$3:$H$3</definedName>
    <definedName hidden="1" localSheetId="3" name="_xlnm._FilterDatabase">'บัญชีแจ้งหน่วยงาน'!$A$3:$K$1430</definedName>
  </definedNames>
  <calcPr/>
</workbook>
</file>

<file path=xl/sharedStrings.xml><?xml version="1.0" encoding="utf-8"?>
<sst xmlns="http://schemas.openxmlformats.org/spreadsheetml/2006/main" count="14997" uniqueCount="4016">
  <si>
    <t>Link file ค้นหาครุภัณฑ์ สธ</t>
  </si>
  <si>
    <t>https://drive.google.com/uc?export=download&amp;id=1RhWqbGehYEtQZOMtZPVoiP2NNE-hcjUl</t>
  </si>
  <si>
    <t>กลุ่มการพยาบาล</t>
  </si>
  <si>
    <t>กลุ่มงานการเงิน</t>
  </si>
  <si>
    <t>กลุ่มงานการพยาบาลชุมชน</t>
  </si>
  <si>
    <t>กลุ่มงานการแพทย์แผนไทยและการแพทย์ทางเลือก</t>
  </si>
  <si>
    <t>กลุ่มงานกุมารเวชกรรม</t>
  </si>
  <si>
    <t>กลุ่มงานโครงสร้างพื้นฐานและวิศวกรรมทางการแพทย์</t>
  </si>
  <si>
    <t>กลุ่มงานจักษุวิทยา</t>
  </si>
  <si>
    <t>กลุ่มงานจิตเวชและยาเสพติด</t>
  </si>
  <si>
    <t>กลุ่มงานทรัพยากรบุคคล</t>
  </si>
  <si>
    <t>กลุ่มงานพัฒนาคุณภาพบริการและวิชาการทันตกรรม</t>
  </si>
  <si>
    <t>กลุ่มงานเทคนิคการแพทย์</t>
  </si>
  <si>
    <t>กลุ่มงานนิติเวช</t>
  </si>
  <si>
    <t>กลุ่มงานบริหารทั่วไป</t>
  </si>
  <si>
    <t>กลุ่มงานบัญชี</t>
  </si>
  <si>
    <t>กลุ่มงานประกันสุขภาพ</t>
  </si>
  <si>
    <t>กลุ่มงานผู้ป่วยนอก</t>
  </si>
  <si>
    <t>กลุ่มงานพยาธิวิทยากายวิภาค</t>
  </si>
  <si>
    <t>กลุ่มงานพัฒนาคุณภาพบริการและมาตรฐาน</t>
  </si>
  <si>
    <t>กลุ่มงานพัฒนาทรัพยากรบุคคล</t>
  </si>
  <si>
    <t>กลุ่มงานพัสดุ</t>
  </si>
  <si>
    <t>กลุ่มงานเภสัชกรรม</t>
  </si>
  <si>
    <t>กลุ่มงานโภชนศาสตร์</t>
  </si>
  <si>
    <t>กลุ่มงานยุทธศาสตร์และแผนงานโครงการ</t>
  </si>
  <si>
    <t>กลุ่มงานรังสีวิทยา</t>
  </si>
  <si>
    <t>กลุ่มงานวิสัญญีวิทยา</t>
  </si>
  <si>
    <t>กลุ่มงานเวชกรรมฟื้นฟู</t>
  </si>
  <si>
    <t>กลุ่มงานเวชกรรมสังคม</t>
  </si>
  <si>
    <t>กลุ่มงานเวชศาสตร์ฉุกเฉิน</t>
  </si>
  <si>
    <t>กลุ่มงานศัลยกรรม</t>
  </si>
  <si>
    <t>กลุ่มงานศัลยกรรมออร์โธปิดิกส์</t>
  </si>
  <si>
    <t>กลุ่มงานสังคมสงเคราะห์</t>
  </si>
  <si>
    <t>กลุ่มงานสุขศึกษา</t>
  </si>
  <si>
    <t>กลุ่มงานสูติ-นรีเวชกรรม</t>
  </si>
  <si>
    <t>กลุ่มงานโสต ศอ นาสิก</t>
  </si>
  <si>
    <t>กลุ่มงานอาชีวเวชกรรม</t>
  </si>
  <si>
    <t>กลุ่มงานอายุรกรรม</t>
  </si>
  <si>
    <t>กลุ่มงานเวชระเบียนและข้อมูลทางการแพทย์</t>
  </si>
  <si>
    <t>กลุ่มงานเทคโนโลยีสารสนเทศ</t>
  </si>
  <si>
    <t>กลุ่มงานสุขภาพดิจิทัล</t>
  </si>
  <si>
    <t>กลุ่มงานบริการทันตกรรม ตติยภูมิและศูนย์ความเป็นเลิศ</t>
  </si>
  <si>
    <t>กลุ่มงานบริการทันตกรรม ปฐมภูมิและทุติยภูมิ</t>
  </si>
  <si>
    <t>งานคลินิกพิเศษเฉพาะทางนอกเวลาราชการ</t>
  </si>
  <si>
    <t>ศูนย์แพทยศาสตร์ศึกษาชั้นคลินิก</t>
  </si>
  <si>
    <t>ศูนย์รับบริจาคโลหิต</t>
  </si>
  <si>
    <t>ศูนย์ความเชี่ยวชาญระดับสูงสาขาทารกแรกเกิด</t>
  </si>
  <si>
    <t>ศูนย์ความเชี่ยวชาญระดับสูงสาขามะเร็ง</t>
  </si>
  <si>
    <t>ศูนย์ความเชี่ยวชาญระดับสูงสาขาหัวใจ</t>
  </si>
  <si>
    <t>ศูนย์ความเชี่ยวชาญระดับสูงสาขาอุบัติเหตุ</t>
  </si>
  <si>
    <t>ศูนย์รับบริจาคและปลูกถ่ายอวัยวะ</t>
  </si>
  <si>
    <t>ศูนย์ภารกิจด้านเศรษฐกิจการคลัง</t>
  </si>
  <si>
    <t>สำนักงานผู้อำนวยการ</t>
  </si>
  <si>
    <t>สำนักงานวิจัยและพัฒนา</t>
  </si>
  <si>
    <t>ศูนย์เครื่องช่วยหายใจ</t>
  </si>
  <si>
    <t>ศูนย์ความเชี่ยวชาญด้านการวัดและการสอบเทียบเครื่องมือแพทย์ (Center of Scientific Metrology; CSM)</t>
  </si>
  <si>
    <t>ศูนย์บูรณาการ การรักษาและวินิจฉัยระบบทางเดินหายใจ (Center of Respiratory Care; CRC)</t>
  </si>
  <si>
    <t>รพ.พระปกเกล้า สาขาเมือง</t>
  </si>
  <si>
    <t>คำชี้แจง</t>
  </si>
  <si>
    <r>
      <rPr>
        <rFont val="TH Sarabun PSK"/>
        <color theme="1"/>
        <sz val="20.0"/>
      </rP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t>
    </r>
    <r>
      <rPr>
        <rFont val="TH SarabunPSK"/>
        <b/>
        <color theme="1"/>
        <sz val="26.0"/>
      </rPr>
      <t>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t>
    </r>
    <r>
      <rPr>
        <rFont val="TH SarabunPSK"/>
        <color theme="1"/>
        <sz val="20.0"/>
      </rPr>
      <t xml:space="preserve">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52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52 กลุ่มเครื่องมือสำคัญ รวมทั้งสิ้นจำนวน 1,376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rFont val="TH SarabunPSK"/>
        <b/>
        <color theme="1"/>
        <sz val="20.0"/>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rFont val="TH SarabunPSK"/>
        <color theme="1"/>
        <sz val="20.0"/>
      </rPr>
      <t xml:space="preserve">
</t>
    </r>
  </si>
  <si>
    <t>บัญชีรายการครุภัณฑ์ สำนักงานปลัดกระทรวงสาธารณสุข</t>
  </si>
  <si>
    <t>ฉบับ ธันวาคม 2568</t>
  </si>
  <si>
    <t>ประเภทครุภัณฑ์</t>
  </si>
  <si>
    <t>กลุ่มเครื่องมือ</t>
  </si>
  <si>
    <t>ตัวย่อ</t>
  </si>
  <si>
    <t>ชื่อภาษาอังกฤษ</t>
  </si>
  <si>
    <t>จำนวนรายการที่ใช้ปัจจุบัน</t>
  </si>
  <si>
    <t>จำนวนรายการที่ยกเลิก/สิ้นสุดขึ้นทะเบียน</t>
  </si>
  <si>
    <t>ภาพรวม</t>
  </si>
  <si>
    <t>13 ประเภท</t>
  </si>
  <si>
    <t>52 กลุ่มเครื่องมือ</t>
  </si>
  <si>
    <t>1. ครุภัณฑ์การแพทย์</t>
  </si>
  <si>
    <t>กระตุกไฟฟ้าหัวใจ</t>
  </si>
  <si>
    <t>DF</t>
  </si>
  <si>
    <t>Defibrillation</t>
  </si>
  <si>
    <t>กล้องจุลทรรศน์ในการผ่าตัด</t>
  </si>
  <si>
    <t>MC</t>
  </si>
  <si>
    <t>Microscopy</t>
  </si>
  <si>
    <t>กล้องส่องตรวจวินิจฉัยและรักษา</t>
  </si>
  <si>
    <t>ES</t>
  </si>
  <si>
    <t>Endoscopic examination</t>
  </si>
  <si>
    <t>กายภาพบำบัด</t>
  </si>
  <si>
    <t>PT</t>
  </si>
  <si>
    <t>Physical Therapy</t>
  </si>
  <si>
    <t>คลังเลือด</t>
  </si>
  <si>
    <t>BB</t>
  </si>
  <si>
    <t>Blood Bank</t>
  </si>
  <si>
    <t>ควบคุมการให้สารน้ำ</t>
  </si>
  <si>
    <t>IP</t>
  </si>
  <si>
    <t>Infusion pump</t>
  </si>
  <si>
    <t>โคมไฟผ่าตัด</t>
  </si>
  <si>
    <t>LO</t>
  </si>
  <si>
    <t>Lamp operation</t>
  </si>
  <si>
    <t>จักษุ</t>
  </si>
  <si>
    <t>EM</t>
  </si>
  <si>
    <t>Eye medical</t>
  </si>
  <si>
    <t>จ่ายกลาง</t>
  </si>
  <si>
    <t>CSSD</t>
  </si>
  <si>
    <t>Central Sterile Supply Department</t>
  </si>
  <si>
    <t>จี้ห้ามเลือดและตัดเนื้อเยื่อ</t>
  </si>
  <si>
    <t>CE</t>
  </si>
  <si>
    <t>Cauterization equipment</t>
  </si>
  <si>
    <t>ช่วยหายใจ</t>
  </si>
  <si>
    <t>RS</t>
  </si>
  <si>
    <t>Respiration</t>
  </si>
  <si>
    <t>ชันสูตร</t>
  </si>
  <si>
    <t>LAB</t>
  </si>
  <si>
    <t>Laboratory</t>
  </si>
  <si>
    <t>ตรวจทารกในครรภ์</t>
  </si>
  <si>
    <t>FT</t>
  </si>
  <si>
    <t>Fetus</t>
  </si>
  <si>
    <t>ตรวจรักษาหัวใจและปอด</t>
  </si>
  <si>
    <t>HL</t>
  </si>
  <si>
    <t>Heart Lung</t>
  </si>
  <si>
    <t>ตรวจวินิจฉัยและรักษาสมอง</t>
  </si>
  <si>
    <t>NE</t>
  </si>
  <si>
    <t>Neuro equipment</t>
  </si>
  <si>
    <t>ติดตามการทำงานของหัวใจและสัญญาณชีพ</t>
  </si>
  <si>
    <t>ME</t>
  </si>
  <si>
    <t>Monitor equipment</t>
  </si>
  <si>
    <t>เตียงผ่าตัด-คลอด</t>
  </si>
  <si>
    <t>OB</t>
  </si>
  <si>
    <t>Operation Bed</t>
  </si>
  <si>
    <t>เตียงผู้ป่วย</t>
  </si>
  <si>
    <t>BP</t>
  </si>
  <si>
    <t>Bed patient</t>
  </si>
  <si>
    <t>ไตเทียม</t>
  </si>
  <si>
    <t>CKD</t>
  </si>
  <si>
    <t>Chronic Kidney Disease</t>
  </si>
  <si>
    <t>ทันตกรรม</t>
  </si>
  <si>
    <t>DE</t>
  </si>
  <si>
    <t>Dental equipment</t>
  </si>
  <si>
    <t>ทารกแรกคลอด</t>
  </si>
  <si>
    <t>NB</t>
  </si>
  <si>
    <t>New born</t>
  </si>
  <si>
    <t>ผ่าตัด</t>
  </si>
  <si>
    <t>OE</t>
  </si>
  <si>
    <t>Operation equipment</t>
  </si>
  <si>
    <t>เภสัชกรรม</t>
  </si>
  <si>
    <t>PHR</t>
  </si>
  <si>
    <t>Pharmacy</t>
  </si>
  <si>
    <t>รังสีรักษา</t>
  </si>
  <si>
    <t>RT</t>
  </si>
  <si>
    <t>Radio therapy</t>
  </si>
  <si>
    <t>วิสัญญี</t>
  </si>
  <si>
    <t>AE</t>
  </si>
  <si>
    <t>Anesthesia equipment</t>
  </si>
  <si>
    <t>ศัลยกรรมออร์โธปิดิกส์</t>
  </si>
  <si>
    <t>ORT</t>
  </si>
  <si>
    <t xml:space="preserve">Orthopedic </t>
  </si>
  <si>
    <t>ศัลยศาสตร์ทางเดินปัสสาวะ</t>
  </si>
  <si>
    <t>URO</t>
  </si>
  <si>
    <t>Urology</t>
  </si>
  <si>
    <t>สนับสนุนการแพทย์</t>
  </si>
  <si>
    <t>MP</t>
  </si>
  <si>
    <t>Medical Support</t>
  </si>
  <si>
    <t>หู คอ จมูก</t>
  </si>
  <si>
    <t>ENT</t>
  </si>
  <si>
    <t>Ear Nose Trost</t>
  </si>
  <si>
    <t>อัลตราซาวด์</t>
  </si>
  <si>
    <t>US</t>
  </si>
  <si>
    <t>Ultrasound</t>
  </si>
  <si>
    <t>เอกซเรย์</t>
  </si>
  <si>
    <t>XR</t>
  </si>
  <si>
    <t>Xray</t>
  </si>
  <si>
    <t>อายุรกรรม</t>
  </si>
  <si>
    <t>IM</t>
  </si>
  <si>
    <t>Internal Medicine</t>
  </si>
  <si>
    <t>สูติกรรม</t>
  </si>
  <si>
    <t>OBS</t>
  </si>
  <si>
    <t>Obstetrics</t>
  </si>
  <si>
    <t>รังสีวินิจฉัย</t>
  </si>
  <si>
    <t>DR</t>
  </si>
  <si>
    <t>Diagnostic Radiology</t>
  </si>
  <si>
    <t>คลินิกส่งเสริมการมีบุตร</t>
  </si>
  <si>
    <t>FC</t>
  </si>
  <si>
    <t>Fertility Clinic</t>
  </si>
  <si>
    <t>ตรวจวินิจฉัยและรักษา</t>
  </si>
  <si>
    <t>DT</t>
  </si>
  <si>
    <t>Diagnostic and Treatment Services</t>
  </si>
  <si>
    <t>2. ครุภัณฑ์ไฟฟ้าและวิทยุ</t>
  </si>
  <si>
    <t>ไฟฟ้าและวิทยุ</t>
  </si>
  <si>
    <t>EE</t>
  </si>
  <si>
    <t>Electric equipment</t>
  </si>
  <si>
    <t>3. ครุภัณฑ์โรงงาน</t>
  </si>
  <si>
    <t>ช่างซ่อมบำรุง</t>
  </si>
  <si>
    <t>HT</t>
  </si>
  <si>
    <t>Hand Tool</t>
  </si>
  <si>
    <t>4. ครุภัณฑ์การเกษตร</t>
  </si>
  <si>
    <t>การเกษตร</t>
  </si>
  <si>
    <t>AC</t>
  </si>
  <si>
    <t>Agriculture</t>
  </si>
  <si>
    <t>5. ครุภัณฑ์การศึกษา</t>
  </si>
  <si>
    <t>การศึกษา</t>
  </si>
  <si>
    <t>ED</t>
  </si>
  <si>
    <t>Education</t>
  </si>
  <si>
    <t>6. ครุภัณฑ์คอมพิวเตอร์</t>
  </si>
  <si>
    <t>กล้องโทรทัศน์วงจรปิด</t>
  </si>
  <si>
    <t>CCTV</t>
  </si>
  <si>
    <t>Close Circuit Television</t>
  </si>
  <si>
    <t>คอมพิวเตอร์และอุปกรณ์</t>
  </si>
  <si>
    <t>COM</t>
  </si>
  <si>
    <t>Computer</t>
  </si>
  <si>
    <t>7. ครุภัณฑ์โฆษณาและเผยแพร่</t>
  </si>
  <si>
    <t>โฆษณาและเผยแพร่</t>
  </si>
  <si>
    <t>AP</t>
  </si>
  <si>
    <t>Advertise and publish</t>
  </si>
  <si>
    <t>8. ครุภัณฑ์งานบ้านงานครัว</t>
  </si>
  <si>
    <t>งานบ้านงานครัว</t>
  </si>
  <si>
    <t>HK</t>
  </si>
  <si>
    <t>Housework kitchen work</t>
  </si>
  <si>
    <t>9. ครุภัณฑ์ยานพาหนะ</t>
  </si>
  <si>
    <t>ยานพาหนะบริการทางการแพทย์</t>
  </si>
  <si>
    <t>VM</t>
  </si>
  <si>
    <t>Vehicle medical</t>
  </si>
  <si>
    <t>ยานพาหนะและขนส่ง</t>
  </si>
  <si>
    <t>VT</t>
  </si>
  <si>
    <t>Vehicle transport</t>
  </si>
  <si>
    <t>10. ครุภัณฑ์วิทยาศาสตร์</t>
  </si>
  <si>
    <t>Autopsy</t>
  </si>
  <si>
    <t>วิทยาศาสตร์</t>
  </si>
  <si>
    <t>SC</t>
  </si>
  <si>
    <t>Science</t>
  </si>
  <si>
    <t>11. ครุภัณฑ์สำนักงาน</t>
  </si>
  <si>
    <t>สำนักงาน</t>
  </si>
  <si>
    <t>OFF</t>
  </si>
  <si>
    <t>Office</t>
  </si>
  <si>
    <t>เครื่องปรับอากาศและฟอกอากาศ</t>
  </si>
  <si>
    <t>AIR</t>
  </si>
  <si>
    <t>Air condition</t>
  </si>
  <si>
    <t>12. ครุภัณฑ์ก่อสร้าง</t>
  </si>
  <si>
    <t>ก่อสร้าง</t>
  </si>
  <si>
    <t>COE</t>
  </si>
  <si>
    <t>Construction equipment</t>
  </si>
  <si>
    <t>13. ครุภัณฑ์สำรวจ</t>
  </si>
  <si>
    <t>สำรวจ</t>
  </si>
  <si>
    <t>SE</t>
  </si>
  <si>
    <t>Survey equipment</t>
  </si>
  <si>
    <t>รหัสครุภัณฑ์</t>
  </si>
  <si>
    <t>ชื่อรายการ (ภาษาไทย)</t>
  </si>
  <si>
    <t>รายการ (ภาษาอังกฤษ)</t>
  </si>
  <si>
    <t>ราคา
 (ต่อหน่วย)</t>
  </si>
  <si>
    <t>หน่วยนับ</t>
  </si>
  <si>
    <t>แหล่งอ้างอิง</t>
  </si>
  <si>
    <t>รอบบัญชี
การอ้างอิง</t>
  </si>
  <si>
    <t>ช่วงเวลาที่ขึ้นทะเบียน
บัญชีนวัตกรรมไทย</t>
  </si>
  <si>
    <t>วันที่สิ้นสุดการขึ้นทะเบียนบัญชีนวัตกรรมไทย</t>
  </si>
  <si>
    <t>ครุภัณฑ์การแพทย์</t>
  </si>
  <si>
    <t>DF-1</t>
  </si>
  <si>
    <t>เครื่องกระตุกไฟฟ้าหัวใจชนิดอัตโนมัติ</t>
  </si>
  <si>
    <t>Automated External Defibrillator</t>
  </si>
  <si>
    <t>เครื่อง</t>
  </si>
  <si>
    <t>สป.สธ.</t>
  </si>
  <si>
    <t>ฉบับ พ.ค. 65</t>
  </si>
  <si>
    <t>DF-2</t>
  </si>
  <si>
    <t>เครื่องกระตุกไฟฟ้าหัวใจชนิดอัตโนมัติ พร้อมตู้ตั้งพื้นจอแสดงผล และระบบสัญญาณเตือน</t>
  </si>
  <si>
    <t>Automated External Defibrillator with Cabinet</t>
  </si>
  <si>
    <t>DF-3</t>
  </si>
  <si>
    <t>เครื่องกระตุกไฟฟ้าหัวใจชนิดพกพา พร้อมแสดงประสิทธิภาพการนวดหัวใจ</t>
  </si>
  <si>
    <t>Automated External Defibrillator with Heart Massage Efficiency</t>
  </si>
  <si>
    <t>DF-4</t>
  </si>
  <si>
    <t>เครื่องกระตุกไฟฟ้าหัวใจชนิดไบเฟสิค พร้อมภาควัดออกซิเจนในเลือด</t>
  </si>
  <si>
    <t>Biphasic Defibrillator with Blood Oxygen Monitor</t>
  </si>
  <si>
    <t>DF-5</t>
  </si>
  <si>
    <t>เครื่องกระตุกไฟฟ้าหัวใจชนิดพกพาในอากาศยาน</t>
  </si>
  <si>
    <t>Portable Defibrillator in Aircraft</t>
  </si>
  <si>
    <t>DF-6</t>
  </si>
  <si>
    <t>เครื่องกระตุกไฟฟ้าหัวใจชนิดไบเฟสิค พร้อมภาควัดออกซิเจนและคาร์บอนไดออกไซด์ในเลือด</t>
  </si>
  <si>
    <t>Biphasic Defibrillator with Blood Oxygen and Carbon Dioxide Oxygen Monitor</t>
  </si>
  <si>
    <t>DF-7</t>
  </si>
  <si>
    <t>เครื่องกระตุกไฟฟ้าหัวใจชนิดไบเฟสิคและระบบติดตามการทำงานของหัวใจแบบ 12 ลีด สามารถวิเคราะห์ผลแบบเคลื่อนย้าย พร้อมระบบส่งสัญญาณทางไกล</t>
  </si>
  <si>
    <t xml:space="preserve">Portable Defibrillator and Monitor EKG 12 lead with Analytic for Transporter </t>
  </si>
  <si>
    <t>ฉบับ ต.ค. 68</t>
  </si>
  <si>
    <t>MC-1</t>
  </si>
  <si>
    <t>กล้องจุลทรรศน์ผ่าตัดหู คอ จมูก</t>
  </si>
  <si>
    <t xml:space="preserve">ENT Surgical Microscope </t>
  </si>
  <si>
    <t>MC-2</t>
  </si>
  <si>
    <t>กล้องจุลทรรศน์ผ่าตัดหู คอ จมูก พร้อมระบบโฟกัสด้วยไฟฟ้า</t>
  </si>
  <si>
    <t>ENT Surgical Microscope with Autofocus</t>
  </si>
  <si>
    <t>MC-3</t>
  </si>
  <si>
    <t>กล้องจุลทรรศน์ผ่าตัดหู คอ จมูก พร้อมระบบโฟกัสด้วยไฟฟ้าและกล้องผู้ช่วย</t>
  </si>
  <si>
    <t>ENT Surgical Microscope with Autofocus and assistant camera</t>
  </si>
  <si>
    <t>MC-4</t>
  </si>
  <si>
    <t>กล้องจุลทรรศน์ผ่าตัดหู คอ จมูก พร้อมระบบโฟกัสด้วยไฟฟ้าและกล้องผู้ช่วยและล็อคหัวกล้องด้วยไฟฟ้า</t>
  </si>
  <si>
    <t>Advanced ENT Surgical Microscope</t>
  </si>
  <si>
    <t>MC-5</t>
  </si>
  <si>
    <t>กล้องจุลทรรศน์สำหรับผ่าตัดตาชนิดเคลื่อนที่</t>
  </si>
  <si>
    <t>Mobile Ophthalmic Surgical Microscope</t>
  </si>
  <si>
    <t>MC-6</t>
  </si>
  <si>
    <t>กล้องจุลทรรศน์สำหรับผ่าตัดตา</t>
  </si>
  <si>
    <t>Ophthalmic Surgical Microscope</t>
  </si>
  <si>
    <t>MC-7</t>
  </si>
  <si>
    <t>กล้องจุลทรรศน์สำหรับผ่าตัดตา พร้อมระบบบันทึกวีดิทัศน์</t>
  </si>
  <si>
    <t>Ophthalmic Surgical Microscope with Video Camera with Video Recording System</t>
  </si>
  <si>
    <t>MC-8</t>
  </si>
  <si>
    <t>กล้องจุลทรรศน์สำหรับผ่าตัดตาคมชัดสูง พร้อมระบบบันทึกวีดิทัศน์</t>
  </si>
  <si>
    <t>Ophthalmic Surgical Microscope with Enhance Red Reflex and High Definition Video Recording System</t>
  </si>
  <si>
    <t>MC-9</t>
  </si>
  <si>
    <t>กล้องจุลทรรศน์สำหรับผ่าตัดจอประสาทตา</t>
  </si>
  <si>
    <t>Ophthalmic Surgical Microscope for Retinal Surgery</t>
  </si>
  <si>
    <t>MC-10</t>
  </si>
  <si>
    <t>กล้องจุลทรรศน์สำหรับผ่าตัดจอประสาทตา พร้อมชุดกลับภาพระบบไฟฟ้า</t>
  </si>
  <si>
    <t>Ophthalmic Surgical Microscope for Retinal Surgery with Inverter Tube</t>
  </si>
  <si>
    <t>MC-11</t>
  </si>
  <si>
    <t>กล้องจุลทรรศน์สำหรับงานทันตกรรม</t>
  </si>
  <si>
    <t>Dental Operating Microscope</t>
  </si>
  <si>
    <t>MC-12</t>
  </si>
  <si>
    <t>กล้องจุลทรรศน์สำหรับงานทันตกรรม พร้อมชุดถ่ายทอดภาพ</t>
  </si>
  <si>
    <t>Dental Operating Microscope with Video System</t>
  </si>
  <si>
    <t>MC-13</t>
  </si>
  <si>
    <t>กล้องจุลทรรศน์ผ่าตัดฟันระบบปรับและล็อคหัวกล้องด้วยไฟฟ้า พร้อมชุดถ่ายทอดภาพ</t>
  </si>
  <si>
    <t>Dental Operating Microscope with Motorized Focus Controller and Video System</t>
  </si>
  <si>
    <t>MC-14</t>
  </si>
  <si>
    <t>กล้องจุลทรรศน์สำหรับผ่าตัดจุลศัลยศาสตร์แบบพื้นฐานคมชัดสูง</t>
  </si>
  <si>
    <t>Basic Operating Microscope</t>
  </si>
  <si>
    <t>MC-15</t>
  </si>
  <si>
    <t>กล้องจุลทรรศน์สำหรับผ่าตัดจุลศัลยศาสตร์แบบพื้นฐานคมชัดสูง พร้อมระบบฉีดสี</t>
  </si>
  <si>
    <t xml:space="preserve">Operating Microscope with Fluorescene </t>
  </si>
  <si>
    <t>MC-16</t>
  </si>
  <si>
    <t>กล้องจุลทรรศน์สำหรับผ่าตัดจุลศัลยศาสตร์แบบขั้นสูงคมชัดสูง พร้อมกล้องผู้ช่วยและระบบบันทึกภาพ</t>
  </si>
  <si>
    <t>Advanced Operating Microscope</t>
  </si>
  <si>
    <t>MC-17</t>
  </si>
  <si>
    <t>กล้องจุลทรรศน์สำหรับผ่าตัดจุลศัลยศาสตร์แบบขั้นสูงคมชัดสูง พร้อมกล้องผู้ช่วยและระบบบันทึกภาพพร้อมระบบฉีดสี</t>
  </si>
  <si>
    <t xml:space="preserve">Advanced Operating Microscope with Fluorescene </t>
  </si>
  <si>
    <t>ES-1</t>
  </si>
  <si>
    <t>เครื่องส่องกล่องเสียงแบบไฟเบอร์ออปติค</t>
  </si>
  <si>
    <t>Laryngoscope</t>
  </si>
  <si>
    <t>ES-2</t>
  </si>
  <si>
    <t>เครื่องส่องตรวจทางเดินหายใจระบบวีดิทัศน์ ขนาดเล็ก</t>
  </si>
  <si>
    <t>Videolaryngoscope : Portable</t>
  </si>
  <si>
    <t>ES-3</t>
  </si>
  <si>
    <t>กล้องส่องตรวจท่อทางเดินปัสสาวะและกระเพาะปัสสาวะ</t>
  </si>
  <si>
    <t xml:space="preserve">Cysto-Urethroscope  </t>
  </si>
  <si>
    <t>ES-4</t>
  </si>
  <si>
    <t>กล้องส่องตรวจทางเดินหายใจชนิดแท่ง Stylet</t>
  </si>
  <si>
    <t>Videolaryngoscope stylet type</t>
  </si>
  <si>
    <t>ES-5</t>
  </si>
  <si>
    <t>กล้องส่องตรวจและรักษาในไต</t>
  </si>
  <si>
    <t xml:space="preserve">Percutaneous Nephroscope </t>
  </si>
  <si>
    <t>ES-6</t>
  </si>
  <si>
    <t>กล้องส่องตรวจท่อไต</t>
  </si>
  <si>
    <t xml:space="preserve">Semi-Rigid Ureterorenoscope </t>
  </si>
  <si>
    <t>ES-7</t>
  </si>
  <si>
    <t>กล้องส่องตรวจและผ่าตัดต่อมลูกหมาก</t>
  </si>
  <si>
    <t xml:space="preserve">TURP </t>
  </si>
  <si>
    <t>ES-8</t>
  </si>
  <si>
    <t>กล้องส่องตรวจกระเพาะอาหารและลำไส้เล็กส่วนต้นแบบพื้นฐาน</t>
  </si>
  <si>
    <t>Standard Gastroscope</t>
  </si>
  <si>
    <t>ES-9</t>
  </si>
  <si>
    <t>เครื่องส่องตรวจทางเดินหายใจระบบวีดิทัศน์ ขนาดกลาง</t>
  </si>
  <si>
    <t>Videolaryngoscope : Standard</t>
  </si>
  <si>
    <t>ES-10</t>
  </si>
  <si>
    <t>กล้องส่องตรวจลำไส้ใหญ่แบบพื้นฐาน</t>
  </si>
  <si>
    <t>Standard Colonoscope</t>
  </si>
  <si>
    <t>ES-11</t>
  </si>
  <si>
    <t>กล้องส่องตรวจท่อทางเดินปัสสาวะและกระเพาะปัสสาวะแบบโค้งงอ</t>
  </si>
  <si>
    <t>Flexible Cystoscope</t>
  </si>
  <si>
    <t>ES-12</t>
  </si>
  <si>
    <t>กล้องส่องตรวจท่อไตและไตแบบโค้งงอ</t>
  </si>
  <si>
    <t xml:space="preserve">Flexible Ureterorenoscope </t>
  </si>
  <si>
    <t>ES-13</t>
  </si>
  <si>
    <t>กล้องส่องตรวจเนื้อเยื่อปากมดลูก</t>
  </si>
  <si>
    <t>Colposcopy</t>
  </si>
  <si>
    <t>ES-14</t>
  </si>
  <si>
    <t>เครื่องส่องตรวจทางเดินหายใจระบบวีดิทัศน์ ขนาดใหญ่</t>
  </si>
  <si>
    <t>Videolaryngoscope : Special / Complete</t>
  </si>
  <si>
    <t>ES-15</t>
  </si>
  <si>
    <t>กล้องส่องตรวจกระเพาะอาหารและลำไส้เล็กส่วนต้นแบบพื้นฐาน พร้อมชุดควบคุมสัญญาณภาพ</t>
  </si>
  <si>
    <t>Standard Gastrovideoscope with Control  System</t>
  </si>
  <si>
    <t>ES-16</t>
  </si>
  <si>
    <t>กล้องส่องตรวจลำไส้ใหญ่แบบพื้นฐาน พร้อมชุดควบคุมสัญญาณภาพ</t>
  </si>
  <si>
    <t>Standard Colonovideoscope with Control System</t>
  </si>
  <si>
    <t>ES-17</t>
  </si>
  <si>
    <t>กล้องส่องตรวจท่อทางเดินน้ำดีและตับอ่อนชนิดวีดิทัศน์แบบคมชัด</t>
  </si>
  <si>
    <t>Duodenovideoscope</t>
  </si>
  <si>
    <t>ES-18</t>
  </si>
  <si>
    <t>กล้องส่องตรวจทางเดินหายใจแบบวีดิทัศน์ชนิดโค้งงอได้</t>
  </si>
  <si>
    <t xml:space="preserve"> Flexible Intubating Videoscope</t>
  </si>
  <si>
    <t>ES-19</t>
  </si>
  <si>
    <t>กล้องส่องตรวจกระเพาะอาหารและลำไส้เล็กส่วนต้นชนิดวีดิทัศน์แบบคมชัด</t>
  </si>
  <si>
    <t>Gastrovideoscope</t>
  </si>
  <si>
    <t>ES-20</t>
  </si>
  <si>
    <t>กล้องส่องตรวจระบบทางเดินหายใจชนิดไฟเบอร์ออฟติค</t>
  </si>
  <si>
    <t xml:space="preserve">Rigid Fiberoptic  Bronchoscopy </t>
  </si>
  <si>
    <t>ES-21</t>
  </si>
  <si>
    <t>กล้องส่องตรวจท่อไตและไตแบบโค้งงอชนิดวีดิทัศน์</t>
  </si>
  <si>
    <t>Flexible Ureterorenovideoscop</t>
  </si>
  <si>
    <t>ES-22</t>
  </si>
  <si>
    <t>กล้องส่องตรวจท่อทางเดินปัสสาวะและกระเพาะปัสสาวะแบบโค้งงอชนิดวีดิทัศน์</t>
  </si>
  <si>
    <t>Flexible Cysto-Videoscope</t>
  </si>
  <si>
    <t>ES-23</t>
  </si>
  <si>
    <t>กล้องส่องตรวจลำไส้ใหญ่ชนิดวีดิทัศน์แบบคมชัด</t>
  </si>
  <si>
    <t>Colonovideoscope</t>
  </si>
  <si>
    <t>ES-24</t>
  </si>
  <si>
    <t>กล้องส่องตรวจลำไส้ใหญ่ชนิดวีดิทัศน์แบบคมชัดสูง</t>
  </si>
  <si>
    <t>High Definition  Colonovideoscope</t>
  </si>
  <si>
    <t>ES-25</t>
  </si>
  <si>
    <t>กล้องส่องตรวจท่อทางเดินน้ำดีและตับอ่อนชนิดวีดิทัศน์แบบคมชัดสูง</t>
  </si>
  <si>
    <t>High Definition Duodenovideoscope</t>
  </si>
  <si>
    <t>ES-26</t>
  </si>
  <si>
    <t>กล้องส่องตรวจกระเพาะอาหารและลำไส้เล็กส่วนต้นชนิดวีดิทัศน์แบบคมชัดสูง</t>
  </si>
  <si>
    <t xml:space="preserve">High Definition Gastrovideoscope </t>
  </si>
  <si>
    <t>ES-27</t>
  </si>
  <si>
    <t>กล้องส่องตรวจมะเร็งปากมดลูกวีดิทัศน์แบบคมชัดสูง</t>
  </si>
  <si>
    <t>High Definition Video Colposcopy</t>
  </si>
  <si>
    <t>ES-28</t>
  </si>
  <si>
    <t>กล้องส่องตรวจทางเดินหายใจแบบวีดิทัศน์ชนิดโค้งงอได้แบบไฟเบอร์ออฟติค พร้อมอุปกรณ์แสดงผลที่จอภาพ</t>
  </si>
  <si>
    <t xml:space="preserve"> Flexible  Fiberoptic  Intubating Bronchooscope</t>
  </si>
  <si>
    <t>ES-29</t>
  </si>
  <si>
    <t>กล้องส่องตรวจกระเพาะอาหารและลำไส้เล็กส่วนต้นชนิดวีดิทัศน์แบบคมชัด พร้อมชุดควบคุมสัญญาณภาพ</t>
  </si>
  <si>
    <t>Gastrovideoscope with  Control System</t>
  </si>
  <si>
    <t>ES-30</t>
  </si>
  <si>
    <t>กล้องส่องตรวจลำไส้ใหญ่ชนิดวีดิทัศน์แบบคมชัด พร้อมชุดควบคุมสัญญาณภาพ</t>
  </si>
  <si>
    <t>High Definition Colonovideoscope with Control System</t>
  </si>
  <si>
    <t>ES-31</t>
  </si>
  <si>
    <t>กล้องส่องตรวจมะเร็งปากมดลูกวีดิทัศน์แบบ 4K</t>
  </si>
  <si>
    <t xml:space="preserve"> Video Colposcopy with 4K</t>
  </si>
  <si>
    <t>ES-32</t>
  </si>
  <si>
    <t>กล้องส่องตรวจโพรงมดลูก พร้อมชุดถ่ายทอดสัญญาณชนิดไฟเบอร์ออฟติค</t>
  </si>
  <si>
    <t>Hysteroscopy</t>
  </si>
  <si>
    <t>ES-33</t>
  </si>
  <si>
    <t>กล้องส่องตรวจท่อไตและไตชนิดโค้งงอได้ พร้อมชุดถ่ายทอดสัญญาณความละเอียดสูง</t>
  </si>
  <si>
    <t>Flexible Ureterorenoscope with HD Camera System</t>
  </si>
  <si>
    <t>ES-34</t>
  </si>
  <si>
    <t>กล้องส่องตรวจมะเร็งปากมดลูกวีดิทัศน์แบบ 3 chip full HD</t>
  </si>
  <si>
    <t xml:space="preserve"> Video Colposcopy with 3 Chip Full HD</t>
  </si>
  <si>
    <t>ES-35</t>
  </si>
  <si>
    <t>กล้องส่องตรวจท่อทางเดินน้ำดีและตับอ่อนชนิดวีดิทัศน์แบบคมชัด พร้อมชุดควบคุมสัญญาณภาพ</t>
  </si>
  <si>
    <t>High Definition Duodenovideoscope with Control System</t>
  </si>
  <si>
    <t>ES-36</t>
  </si>
  <si>
    <t>กล้องส่องตรวจท่อทางเดินปัสสาวะและกระเพาะปัสสาวะชนิดโค้งงอได้ พร้อมชุดถ่ายทอดสัญญาณความละเอียดสูง</t>
  </si>
  <si>
    <t>Flexible Cysto -Urethroscope with HD Camera System</t>
  </si>
  <si>
    <t>ES-37</t>
  </si>
  <si>
    <t>กล้องส่องตรวจและผ่าตัดภายในช่องท้องชนิดวีดิทัศน์แบบคมชัดสูงชนิดภาพ 2 มิติ</t>
  </si>
  <si>
    <t>High Definition Laparoscopic 2D with Control System</t>
  </si>
  <si>
    <t>ES-38</t>
  </si>
  <si>
    <t>กล้องส่องตรวจเนื้อเยื่อปากมดลูกชนิดวีดิทัศน์ความคมชัดสูง</t>
  </si>
  <si>
    <t>Colposcopy with Video Processor</t>
  </si>
  <si>
    <t>ES-39</t>
  </si>
  <si>
    <t>ชุดกล้องส่องตรวจระบบทางเดินหายใจ พร้อมชุดประมวลสัญญาณภาพระบบวีดิทัศน์</t>
  </si>
  <si>
    <t>Video fiberoptic  Bronchoscopy with Video Processor</t>
  </si>
  <si>
    <t>ES-40</t>
  </si>
  <si>
    <t>กล้องส่องตรวจกระเพาะอาหารและลำไส้เล็กส่วนต้นชนิดวีดิทัศน์แบบคมชัดสูง พร้อมชุดควบคุมสัญญาณภาพ</t>
  </si>
  <si>
    <t>High Definition Gastrovideoscope with Control System</t>
  </si>
  <si>
    <t>ES-41</t>
  </si>
  <si>
    <t>กล้องส่องตรวจลำไส้ใหญ่ชนิดวีดิทัศน์แบบคมชัดสูง พร้อมชุดควบคุมสัญญาณภาพ</t>
  </si>
  <si>
    <t>High Definition Gastrovideoscop and Colonovideoscope with Control System</t>
  </si>
  <si>
    <t>ES-42</t>
  </si>
  <si>
    <t>กล้องส่องตรวจท่อทางเดินน้ำดีและตับอ่อนชนิดวีดิทัศน์แบบคมชัดสูง พร้อมชุดควบคุมสัญญาณภาพ</t>
  </si>
  <si>
    <t>ES-43</t>
  </si>
  <si>
    <t>กล้องส่องตรวจและผ่าตัดภายในช่องท้องและลำไส้ใหญ่ พร้อมระบบวีดิทัศน์ชนิดภาพ 3 มิติ</t>
  </si>
  <si>
    <t>Rigid Laparoscopic 3D with Control System</t>
  </si>
  <si>
    <t>ES-44</t>
  </si>
  <si>
    <t>กล้องส่องตรวจและผ่าตัดภายในช่องท้องและลำไส้ใหญ่ พร้อมระบบวีดิทัศน์ชนิดภาพ 3 มิติ กล้องปรับได้</t>
  </si>
  <si>
    <t>Flexible Laparoscopic 3D with Control System</t>
  </si>
  <si>
    <t>ES-45</t>
  </si>
  <si>
    <t>กล้องส่องตรวจระบบทางเดินหายใจ ด้วยคลื่นเสียงความถี่สูง</t>
  </si>
  <si>
    <t>Endobronchial Ultrasound</t>
  </si>
  <si>
    <t>ES-46</t>
  </si>
  <si>
    <t>กล้องส่องตรวจระบบทางเดินอาหาร ทางเดินน้ำดีและตับอ่อนด้วยคลื่นเสียงความถี่สูง พร้อมชุดควบคุมสัญญาณภาพ</t>
  </si>
  <si>
    <t>Ultrasound Gastrovideoscopes with Control System</t>
  </si>
  <si>
    <t>ES-47</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</si>
  <si>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</si>
  <si>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Portable Flexible  Bronchooscope</t>
  </si>
  <si>
    <t>ES-48</t>
  </si>
  <si>
    <t>กล้องส่องตรวจและผ่าตัดกระดูกสันหลัง</t>
  </si>
  <si>
    <t>Endoscope Spine Surgery</t>
  </si>
  <si>
    <t>ชุด</t>
  </si>
  <si>
    <t>ฉบับ ก.ย. 66</t>
  </si>
  <si>
    <t>ES-49</t>
  </si>
  <si>
    <t>กล้องส่องตรวจและผ่าตัดภายในข้อพร้อมเครื่องจี้ใต้น้ำ</t>
  </si>
  <si>
    <t>Arthroscopic Surgery System with Underwater Electrocautery</t>
  </si>
  <si>
    <t>ฉบับ พ.ย. 67</t>
  </si>
  <si>
    <t>ES-50</t>
  </si>
  <si>
    <t>ชุดกล้องช่วยผ่าตัดในช่องข้อ พร้อมระบบวีดิทัศน์</t>
  </si>
  <si>
    <t>Arthroscopy Set with Video Imaging System</t>
  </si>
  <si>
    <t>ES-51</t>
  </si>
  <si>
    <t>ชุดกล้องส่องตรวจทางเดินอาหารด้วยคลื่นความถี่สูง (EUS)</t>
  </si>
  <si>
    <t>Endoscopic Ultrasonography System</t>
  </si>
  <si>
    <t>ES-52</t>
  </si>
  <si>
    <t>ชุดกล้องส่องตรวจและผ่าตัด ภายในช่องข้อ ความละเอียดสูง (4K)</t>
  </si>
  <si>
    <t>4K Arthroscopic Surgery System</t>
  </si>
  <si>
    <t>ES-53</t>
  </si>
  <si>
    <t>ชุดกล้องส่องและผ่าตัดภายในข้อผ่านกล้อง</t>
  </si>
  <si>
    <t>ARTHROSCOPIC SYSTEM</t>
  </si>
  <si>
    <t>ES-54</t>
  </si>
  <si>
    <t>ชุดเครื่องมือผ่าตัดกระดูกสันหลังผ่านกล้อง</t>
  </si>
  <si>
    <t>Endoscopic Spine Surgery Set</t>
  </si>
  <si>
    <t>ES-55</t>
  </si>
  <si>
    <t>ชุดเครื่องมือผ่าตัดกระดูกสันหลังผ่านกล้อง พร้อมระบบวีดิทัศน์</t>
  </si>
  <si>
    <t>Endoscopic Spine Surgery Set with Video System</t>
  </si>
  <si>
    <t>ES-56</t>
  </si>
  <si>
    <t>ชุดผ่าตัดกล้องส่องข้อกระดูก</t>
  </si>
  <si>
    <t>Arthroscopic Surgery Set</t>
  </si>
  <si>
    <t>ES-57</t>
  </si>
  <si>
    <t>กล้องส่องตรวจความผิดปกติบริเวณปากมดลูกพร้อมระบบแสดงภาพและจัดการข้อมูลผู้ป่วย</t>
  </si>
  <si>
    <t xml:space="preserve"> Wireless Digital Colposcope H stand with Swing Arm</t>
  </si>
  <si>
    <t>ES-58</t>
  </si>
  <si>
    <t>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t>
  </si>
  <si>
    <t>Advance Hemodynamic Monitoring</t>
  </si>
  <si>
    <t>PT-1</t>
  </si>
  <si>
    <t>เครื่องวัดแรงบีบมือ</t>
  </si>
  <si>
    <t>hand pressure gauge</t>
  </si>
  <si>
    <t>PT-2</t>
  </si>
  <si>
    <t>เครื่องฝึกยืน พร้อมเตียงไฟฟ้า</t>
  </si>
  <si>
    <t>Standing trainer with electric bed</t>
  </si>
  <si>
    <t>PT-3</t>
  </si>
  <si>
    <t>ราวฝึกเดินแบบปรับระดับได้</t>
  </si>
  <si>
    <t>Parallel Bar</t>
  </si>
  <si>
    <t>PT-4</t>
  </si>
  <si>
    <t>จักรยานไฟฟ้าออกกำลังกาย</t>
  </si>
  <si>
    <t>electric exercise bike</t>
  </si>
  <si>
    <t>คัน</t>
  </si>
  <si>
    <t>PT-5</t>
  </si>
  <si>
    <t>หม้อแช่พาราฟิน</t>
  </si>
  <si>
    <t>paraffin cauldron</t>
  </si>
  <si>
    <t>PT-6</t>
  </si>
  <si>
    <t>หม้อต้มแผ่นความร้อน ขนาดไม่น้อยกว่า 6 แผ่น</t>
  </si>
  <si>
    <t>Hot plate boiler at least 6 sheets in size</t>
  </si>
  <si>
    <t>PT-7</t>
  </si>
  <si>
    <t>เครื่องกระตุ้นปลายประสาทด้วยไฟฟ้า</t>
  </si>
  <si>
    <t>electrical nerve ending stimulator</t>
  </si>
  <si>
    <t>PT-8</t>
  </si>
  <si>
    <t>จักรยานนั่งปั่น</t>
  </si>
  <si>
    <t>Stationary Bicycle</t>
  </si>
  <si>
    <t>PT-9</t>
  </si>
  <si>
    <t>เครื่องอัลตราซาวด์เพื่อการรักษา</t>
  </si>
  <si>
    <t>Therapeutic Ultrasound</t>
  </si>
  <si>
    <t>PT-10</t>
  </si>
  <si>
    <t>หม้อต้มแผ่นความร้อนขนาดไม่น้อยกว่า 12 แผ่น</t>
  </si>
  <si>
    <t>Hot plate boiler, no less than 12 plates</t>
  </si>
  <si>
    <t>PT-11</t>
  </si>
  <si>
    <t>ลู่วิ่งไฟฟ้า</t>
  </si>
  <si>
    <t>treadmill</t>
  </si>
  <si>
    <t>PT-12</t>
  </si>
  <si>
    <t>เครื่องดึงคอและหลังอัตโนมัติ พร้อมเตียงไม่ปรับระดับ</t>
  </si>
  <si>
    <t>Automatic neck and back traction machine with non-leveling bed</t>
  </si>
  <si>
    <t>PT-13</t>
  </si>
  <si>
    <t>เครื่องกระตุ้นกล้ามเนื้อด้วยไฟฟ้า</t>
  </si>
  <si>
    <t>Electrical Stimulation</t>
  </si>
  <si>
    <t>PT-15</t>
  </si>
  <si>
    <t>เครื่องกระตุ้นการกลืนด้วยกระแสไฟฟ้า</t>
  </si>
  <si>
    <t>electrical swallowing stimulator</t>
  </si>
  <si>
    <t>PT-16</t>
  </si>
  <si>
    <t>เครื่องบริหารข้อเข่าและสะโพกแบบต่อเนื่อง</t>
  </si>
  <si>
    <t>Continuous Knee and Hip Exercise Machine</t>
  </si>
  <si>
    <t>PT-17</t>
  </si>
  <si>
    <t>เครื่องช่วยการเคลื่อนไหวข้อเข่าแบบต่อเนื่อง</t>
  </si>
  <si>
    <t>Knee CPM</t>
  </si>
  <si>
    <t>PT-18</t>
  </si>
  <si>
    <t>เครื่องบริหารข้อไหล่แบบต่อเนื่อง</t>
  </si>
  <si>
    <t>Continuous shoulder exercise machine</t>
  </si>
  <si>
    <t>PT-19</t>
  </si>
  <si>
    <t>เครื่องดึงคอและหลังอัตโนมัติ พร้อมเตียงปรับระดับได้</t>
  </si>
  <si>
    <t>Automatic neck and back traction machine with adjustable bed</t>
  </si>
  <si>
    <t>PT-20</t>
  </si>
  <si>
    <t>เครื่องอบความร้อนคลื่นสั้น</t>
  </si>
  <si>
    <t>short wave heater</t>
  </si>
  <si>
    <t>PT-21</t>
  </si>
  <si>
    <t>เครื่องช่วยพยุงตัวแบบมีรางเลื่อน</t>
  </si>
  <si>
    <t>buoyancy aids with sliding rails</t>
  </si>
  <si>
    <t>PT-22</t>
  </si>
  <si>
    <t>เครื่องให้การรักษาด้วยแสงเลเซอร์กำลังสูง</t>
  </si>
  <si>
    <t>High Power Laser Therapy</t>
  </si>
  <si>
    <t>PT-23</t>
  </si>
  <si>
    <t>เครื่องให้การรักษาด้วยคลื่นกระแทกแบบ Radial</t>
  </si>
  <si>
    <t>Shock Wave, Radial</t>
  </si>
  <si>
    <t>PT-24</t>
  </si>
  <si>
    <t>เครื่องตรวจสมรรภาพการทํางานของหัวใจขณะออกกําลังกาย</t>
  </si>
  <si>
    <t>Heart rate monitor during exercise</t>
  </si>
  <si>
    <t>PT-25</t>
  </si>
  <si>
    <t>เครื่องตรวจกล้ามเนื้อด้วยคลื่นไฟฟ้า</t>
  </si>
  <si>
    <t>Electromyography</t>
  </si>
  <si>
    <t>PT-26</t>
  </si>
  <si>
    <t>เครื่องตรวจวัดสมรรถนะหลอดเลือดแดงสวนปลาย</t>
  </si>
  <si>
    <t>Ankle-Brachial index (ABI)</t>
  </si>
  <si>
    <t>PT-27</t>
  </si>
  <si>
    <t>เครื่องให้การรักษาด้วยคลื่นกระแทกแบบ Focused</t>
  </si>
  <si>
    <t>Shock Wave, Focused</t>
  </si>
  <si>
    <t>PT-28</t>
  </si>
  <si>
    <t>เครื่องตรวจพลศาสตร์กระเพาะปัสสาวะ</t>
  </si>
  <si>
    <t>Bladder dynamics tester</t>
  </si>
  <si>
    <t>PT-29</t>
  </si>
  <si>
    <t>เครื่องวิเคราะห์การใช้พลังงานขณะออกกำลังกาย</t>
  </si>
  <si>
    <t>Cardio Pulmonary Exercise Test</t>
  </si>
  <si>
    <t>PT-30</t>
  </si>
  <si>
    <t>ชุดจักรยานฟื้นฟูสมรรถภาพผู้ป่วยแบบนั่งปั่น พร้อมวัดความดันโลหิต และวัดปริมาณความอิ่มตัวของออกซิเจนในเลือด</t>
  </si>
  <si>
    <t>Leg Ergometer with BP and SpO2</t>
  </si>
  <si>
    <t>PT-31</t>
  </si>
  <si>
    <t>เครื่องสั่นปอดความถี่สูงระบบอัตโนมัติ</t>
  </si>
  <si>
    <t>High Frequency Chest Wall Oscillation</t>
  </si>
  <si>
    <t>PT-32</t>
  </si>
  <si>
    <t>อุปกรณ์ช่วยฝึกเดิน พร้อมระบบพยุงน้ำหนักบางส่วน (ชุดพื้นฐาน)</t>
  </si>
  <si>
    <t>Space Walker (SPW)</t>
  </si>
  <si>
    <t>นวัตกรรมไทย*</t>
  </si>
  <si>
    <t>ฉบับ มี.ค. 65</t>
  </si>
  <si>
    <t>มีนาคม 2565 – มีนาคม 2572 (7 ปี)</t>
  </si>
  <si>
    <t>PT-33</t>
  </si>
  <si>
    <t>อุปกรณ์ช่วยฝึกเดิน พร้อมระบบพยุงน้ำหนักบางส่วน (ชุด Full Set)</t>
  </si>
  <si>
    <t>Space Walker (SPW), Full Set</t>
  </si>
  <si>
    <t>PT-34</t>
  </si>
  <si>
    <t>เครื่องกระตุ้นเซลล์ประสาทด้วยคลื่นแม่เหล็กไฟฟ้า (TMS)</t>
  </si>
  <si>
    <t>Transcranial Magnetic Stimulation Device</t>
  </si>
  <si>
    <t>PT-35</t>
  </si>
  <si>
    <t>เครื่องมือให้การรักษาด้วยคลื่นวิทยุ</t>
  </si>
  <si>
    <t>Radio Frequency Therapy Device</t>
  </si>
  <si>
    <t>PT-36</t>
  </si>
  <si>
    <t>เครื่องให้การรักษาลดบวมด้วยการบีบของลม</t>
  </si>
  <si>
    <t>Compressible Limb Therapy Device</t>
  </si>
  <si>
    <t>PT-37</t>
  </si>
  <si>
    <t>เครื่องให้การรักษาอาการปวดและกระตุ้นเซลล์ประสาทส่วนปลายด้วยสนามแม่เหล็กไฟฟ้า (PMS)</t>
  </si>
  <si>
    <t>Peripheral Magnetic Stimulation Device</t>
  </si>
  <si>
    <t>PT-38</t>
  </si>
  <si>
    <t>ชุดอุปกรณ์พยุงน้ำหนักตัวพร้อมลู่เดินไฟฟ้า</t>
  </si>
  <si>
    <t>Body-weight support treadmill set</t>
  </si>
  <si>
    <t>PT-39</t>
  </si>
  <si>
    <t>เครื่องวัดและฝึกกล้ามเนื้อที่ใช้ในการหายใจ</t>
  </si>
  <si>
    <t>Silverfit flow</t>
  </si>
  <si>
    <t>PT-40</t>
  </si>
  <si>
    <t>ชุดลู่วิ่งไฟฟ้าความเร็วต่ำ สำหรับฝึกเดิน วิ่ง กายภาพบำบัดพร้อมระบบพยุงตัวในการฝึกเดิน</t>
  </si>
  <si>
    <t>Gait Training Treadmill with Body Weight Support System</t>
  </si>
  <si>
    <t>PT-41</t>
  </si>
  <si>
    <t>ชุดเครื่องประเมินการทรงตัวและความสมมาตรของการลงน้ำหนักของร่างกายพร้อมโปรแกรมฝึก</t>
  </si>
  <si>
    <t>Balance testing and training</t>
  </si>
  <si>
    <t>PT-42</t>
  </si>
  <si>
    <t>ชุดอุปกรณ์ตรวจประเมินและฝึกการใช้มือทางกายภาพบำบัด</t>
  </si>
  <si>
    <t>Hand function testing and training</t>
  </si>
  <si>
    <t>PT-43</t>
  </si>
  <si>
    <t>จักรยานช่วยเพิ่มการเคลื่อนไหวของแขนและขา</t>
  </si>
  <si>
    <t>Active-Passive training Bike</t>
  </si>
  <si>
    <t>PT-44</t>
  </si>
  <si>
    <t>เครื่องดึงคอและหลังพร้อมเตียงจัดท่าอัตโนมัติปรับระดับได้แบบไฟฟ้า</t>
  </si>
  <si>
    <t>Automatic Cervical and Lumbar Traction Machine with Electrically Adjustable Table</t>
  </si>
  <si>
    <t>PT-45</t>
  </si>
  <si>
    <t>Electrical Stimulator</t>
  </si>
  <si>
    <t>ฉบับ ก.ย. 68</t>
  </si>
  <si>
    <t>กันยายน 2568 – กันยายน 2572 (4 ปี)</t>
  </si>
  <si>
    <t>PT-46</t>
  </si>
  <si>
    <t>หุ่นยนต์ฟื้นฟูการเดิน Gait Rehabilitation Robots พร้อมด้วยระบบคอมพิวเตอร์สำหรับสนับสนุนการฝึกเดินและการทรงตัว และฐานข้อมูลผู้ป่วย Computer for Progress Monitoring and Real Time Feedback</t>
  </si>
  <si>
    <t>Gait Rehabilitation Robots (SensibleSTEP) with Computer for Progress Monitoring and Real Time Feedback</t>
  </si>
  <si>
    <t>PT-47</t>
  </si>
  <si>
    <t>ลู่วิ่งสำหรับวิเคราะห์การเดินและวัดแรงกดเท้า</t>
  </si>
  <si>
    <t>Rehawalk</t>
  </si>
  <si>
    <t>PT-48</t>
  </si>
  <si>
    <t>เครื่องกระตุ้นกล้ามเนื้อด้วยไฟฟ้า พร้อมอัลตราซาวด์ และเครื่องพ่วงอิเลคโทรดแบบสุญญากาศ</t>
  </si>
  <si>
    <t>PT-49</t>
  </si>
  <si>
    <t>เครื่องให้การรักษาทางกายภาพด้วยอัลตราซาวด์</t>
  </si>
  <si>
    <t>Ultrasound Physical Therapy Machine</t>
  </si>
  <si>
    <t>PT-50</t>
  </si>
  <si>
    <t>เครื่องกระตุ้นสมองด้วยไฟฟ้ากระแสตรงผ่านกะโหลกศีรษะ TDCS</t>
  </si>
  <si>
    <t>HDCstim TDCS-Direct Current Stimulator</t>
  </si>
  <si>
    <t>PT-51</t>
  </si>
  <si>
    <t xml:space="preserve">หุ่นยนต์ช่วยฝึกการทรงตัวจากท่านั่งสู่ท่ายืน </t>
  </si>
  <si>
    <t>Sit-to-stand robotic training device (Model: Trunk Stability Rehabilitation Robot Trainer 3DBT-33)</t>
  </si>
  <si>
    <t>PT-52</t>
  </si>
  <si>
    <t xml:space="preserve">เตียงออกกำลังกายและฝึกกิจกรรมปรับระดับได้ด้วยระบบไฟฟ้า </t>
  </si>
  <si>
    <t>Bobath Bed</t>
  </si>
  <si>
    <t>เตียง</t>
  </si>
  <si>
    <t>BB-1</t>
  </si>
  <si>
    <t>เครื่องมืออุ่นสารน้ำหรือเลือดเพื่อให้ทางหลอดเลือดดำ</t>
  </si>
  <si>
    <t>Intravenous Fluid Warming System</t>
  </si>
  <si>
    <t>BB-2</t>
  </si>
  <si>
    <t>ตู้อุ่นสารน้ำ ความจุต้องไม่น้อยกว่า 20 ขวด</t>
  </si>
  <si>
    <t>Warming Cabinet</t>
  </si>
  <si>
    <t>ตู้</t>
  </si>
  <si>
    <t>BB-3</t>
  </si>
  <si>
    <t>เครื่องอุ่นเลือดและส่วนประกอบของเลือดชนิดไม่สัมผัสน้ำสามารถอุ่นเลือดได้ พร้อมกันไม่น้อยกว่า 3 ถุง</t>
  </si>
  <si>
    <t xml:space="preserve">Blood Warming </t>
  </si>
  <si>
    <t>BB-4</t>
  </si>
  <si>
    <t>ตู้แช่แข็งเก็บพลาสมาอุณหภูมิ -20 องศาเซลเซียส ไม่น้อยกว่า 80 ถุง</t>
  </si>
  <si>
    <t>Freezer to store plasma at -20 degrees Celsius, not less than 80 bags</t>
  </si>
  <si>
    <t>BB-5</t>
  </si>
  <si>
    <t>เครื่องปั่นเม็ดเลือดแดงอัดแน่น</t>
  </si>
  <si>
    <t xml:space="preserve">Hematocrit Centrifuge </t>
  </si>
  <si>
    <t>BB-6</t>
  </si>
  <si>
    <t>เครื่องปั่นแยกส่วนประกอบของเลือด พร้อมระบบควบคุมความเย็น 6 ถุง</t>
  </si>
  <si>
    <t>Blood Component Centrifuge with Cooling Control 6 Bags</t>
  </si>
  <si>
    <t>BB-7</t>
  </si>
  <si>
    <t>เครื่องปั่นแยกส่วนประกอบของเลือด พร้อมระบบควบคุมความเย็น 12 ถุง</t>
  </si>
  <si>
    <t>Blood Centrifuge with Cooling Control System 12 Bags</t>
  </si>
  <si>
    <t>BB-8</t>
  </si>
  <si>
    <t>เครื่องเขย่า พร้อมชั่งน้ำหนักถุงเลือดอัตโนมัติ</t>
  </si>
  <si>
    <t>Electronic Blood Collection Monitor</t>
  </si>
  <si>
    <t>BB-9</t>
  </si>
  <si>
    <t>เครื่องผนึกสายถุงบรรจุโลหิตแบบตั้งโต๊ะ 1 หัว</t>
  </si>
  <si>
    <t>Automatic Benchtop Tube Sealer</t>
  </si>
  <si>
    <t>BB-10</t>
  </si>
  <si>
    <t>ตู้แช่แข็งเก็บพลาสมาอุณหภูมิ -20 องศาเซลเซียส ไม่น้อยกว่า 300 ถุง</t>
  </si>
  <si>
    <t>Freezer to store plasma at -20 ° C, not less than 300 bags</t>
  </si>
  <si>
    <t>BB-11</t>
  </si>
  <si>
    <t>ตู้แช่แข็งเก็บพลาสมาอุณหภูมิ -40 องศาเซลเซียส ไม่น้อยกว่า 150 ถุง</t>
  </si>
  <si>
    <t>Freezer to store plasma at -40 degrees Celsius, not less than 150 bags</t>
  </si>
  <si>
    <t>BB-12</t>
  </si>
  <si>
    <t>ตู้แช่แข็งเก็บพลาสมาอุณหภูมิ -40 องศาเซลเซียส ไม่น้อยกว่า 300 ถุง</t>
  </si>
  <si>
    <t>Freezer to store plasma at -40 degrees Celsius, not less than 300 bags</t>
  </si>
  <si>
    <t>BB-13</t>
  </si>
  <si>
    <t>เครื่องผนึกสายถุงบรรจุโลหิตแบบเคลื่อนที่</t>
  </si>
  <si>
    <t>Mobile Tube Sealer</t>
  </si>
  <si>
    <t>BB-14</t>
  </si>
  <si>
    <t>เครื่องละลายพลาสมาและอุ่นเลือด</t>
  </si>
  <si>
    <t xml:space="preserve">Plasma Thawing Bath  </t>
  </si>
  <si>
    <t>BB-15</t>
  </si>
  <si>
    <t>เครื่องละลายพลาสมาและอุ่นเลือดระบบความร้อนแห้ง</t>
  </si>
  <si>
    <t>Dry Plasma Thawer</t>
  </si>
  <si>
    <t>BB-16</t>
  </si>
  <si>
    <t>ตู้ปลอดเชื้อ class II ไม่น้อยกว่า 2 ฟุต</t>
  </si>
  <si>
    <t xml:space="preserve">Biosafety Cabinet ClassIIA2 </t>
  </si>
  <si>
    <t>BB-17</t>
  </si>
  <si>
    <t>ตู้ปลอดเชื้อ class II ไม่น้อยกว่า 4 ฟุต</t>
  </si>
  <si>
    <t>Biosafety Cabinet ClassIIA3</t>
  </si>
  <si>
    <t>BB-18</t>
  </si>
  <si>
    <t>ตู้ปลอดเชื้อ class II ไม่น้อยกว่า 6 ฟุต</t>
  </si>
  <si>
    <t>Biosafety Cabinet ClassIIA4</t>
  </si>
  <si>
    <t>BB-19</t>
  </si>
  <si>
    <t>ตู้เย็นเก็บเลือดขนาดไม่น้อยกว่า 20 คิว</t>
  </si>
  <si>
    <t>A refrigerator to store blood with a size of not less than 20 cubic meters</t>
  </si>
  <si>
    <t>BB-20</t>
  </si>
  <si>
    <t>ตู้เก็บเกล็ดเลือด พร้อมเครื่องเขย่า ไม่น้อยกว่า 24 ถุง</t>
  </si>
  <si>
    <t>Platelet storage cabinet with shaker, not less than 24 bags</t>
  </si>
  <si>
    <t>BB-21</t>
  </si>
  <si>
    <t>ตู้เก็บเกล็ดเลือด พร้อมเครื่องเขย่า ไม่น้อยกว่า 60 ถุง</t>
  </si>
  <si>
    <t>Platelet storage cabinet with shaker, not less than 60 bags</t>
  </si>
  <si>
    <t>BB-22</t>
  </si>
  <si>
    <t>ตู้เก็บเกล็ดเลือด พร้อมเครื่องเขย่า ไม่น้อยกว่า 120 ถุง</t>
  </si>
  <si>
    <t>Platelet storage cabinet with shaker, not less than 120 bags</t>
  </si>
  <si>
    <t>BB-23</t>
  </si>
  <si>
    <t>เครื่องเก็บล้างเม็ดเลือดแดงมาใช้ใหม่</t>
  </si>
  <si>
    <t>Autotransfusion</t>
  </si>
  <si>
    <t>BB-24</t>
  </si>
  <si>
    <t>เครื่องวัดอัตราการแข็งตัวของเลือด</t>
  </si>
  <si>
    <t xml:space="preserve">Activated Clotting Time (ACT Analyzer) </t>
  </si>
  <si>
    <t>IP-1</t>
  </si>
  <si>
    <t>เครื่องควบคุมการให้สารละลายโดยใช้กระบอกฉีด</t>
  </si>
  <si>
    <t>Syringe Pump</t>
  </si>
  <si>
    <t>IP-2</t>
  </si>
  <si>
    <t>เครื่องควบคุมการให้สารน้ำทางหลอดเลือดดำชนิด 1 สาย</t>
  </si>
  <si>
    <t>Infusion Pump</t>
  </si>
  <si>
    <t>IP-3</t>
  </si>
  <si>
    <t>เครื่องควบคุมการให้สารน้ำทางหลอดเลือดดำชนิด 3 สาย</t>
  </si>
  <si>
    <t>3-wire intravenous fluid control device</t>
  </si>
  <si>
    <t>IP-4</t>
  </si>
  <si>
    <t>เครื่องควบคุมการให้ยาและสารน้ำใต้ผิวหนัง</t>
  </si>
  <si>
    <t>Syringe driver</t>
  </si>
  <si>
    <t>LO-1</t>
  </si>
  <si>
    <t>โคมไฟตรวจภายใน</t>
  </si>
  <si>
    <t>interior examination lamp</t>
  </si>
  <si>
    <t>LO-2</t>
  </si>
  <si>
    <t>โคมไฟผ่าตัดเล็ก ความสว่างไม่น้อยกว่า 60,000 ลักซ์</t>
  </si>
  <si>
    <t>Mini surgical lamp, brightness not less than 60,000 lux</t>
  </si>
  <si>
    <t>LO-3</t>
  </si>
  <si>
    <t>โคมไฟผ่าตัดใหญ่โคมคู่ ความสว่างไม่น้อยกว่า 130,000 ลักซ์</t>
  </si>
  <si>
    <t>Large surgical lamp, double lamp, brightness not less than 130,000 lux</t>
  </si>
  <si>
    <t>LO-4</t>
  </si>
  <si>
    <t>โคมไฟผ่าตัดใหญ่โคมคู่ ความสว่างไม่น้อยกว่า 130,000 ลักซ์ หลอดแอลอีดี</t>
  </si>
  <si>
    <t>Large surgical lamp, double lamp, brightness not less than 130,000 lux, LED lamp</t>
  </si>
  <si>
    <t>EM-1</t>
  </si>
  <si>
    <t>เครื่องตรวจจอประสาทตาทางอ้อม</t>
  </si>
  <si>
    <t>Indirect Ophthalmoscope</t>
  </si>
  <si>
    <t>EM-2</t>
  </si>
  <si>
    <t>เครื่องวัดความดันตาชนิดสัมผัสกระจกตาชนิดมือถือระบบดิจิตอล</t>
  </si>
  <si>
    <t>Handheld Contact  Tonometer</t>
  </si>
  <si>
    <t>EM-3</t>
  </si>
  <si>
    <t>เครื่องวัดความดันลูกตาชนิดสัมผัสกระจกตา</t>
  </si>
  <si>
    <t>Goldmann Applanation Tonometer</t>
  </si>
  <si>
    <t>EM-4</t>
  </si>
  <si>
    <t>ชุดเครื่องมือผ่าตัดตา</t>
  </si>
  <si>
    <t>eye surgery tool kit</t>
  </si>
  <si>
    <t>EM-5</t>
  </si>
  <si>
    <t>เครื่องวัดความหนาของกระจกตา</t>
  </si>
  <si>
    <t>Corneal Pachymeter</t>
  </si>
  <si>
    <t>EM-6</t>
  </si>
  <si>
    <t>เครื่องวัดเลนส์แก้วตาเทียมด้วยคลื่นเสียงความถี่สูง</t>
  </si>
  <si>
    <t>Ophthalmic Ultrasound Biometry</t>
  </si>
  <si>
    <t>EM-7</t>
  </si>
  <si>
    <t>กล้องตรวจจอประสาทตาชนิดมือถือ</t>
  </si>
  <si>
    <t>Hand-held Fundus Camera</t>
  </si>
  <si>
    <t>EM-8</t>
  </si>
  <si>
    <t>เครื่องวิเคราะห์โรคทางจอประสาทตาระบบอัตโนมัติ</t>
  </si>
  <si>
    <t>Digital Image Box</t>
  </si>
  <si>
    <t>EM-9</t>
  </si>
  <si>
    <t>เครื่องวัดความดันลูกตาแบบไม่สัมผัสกระจกตา</t>
  </si>
  <si>
    <t>Air-Puff Tonometer (Air-puff Pneumatic Tonometry)</t>
  </si>
  <si>
    <t>EM-10</t>
  </si>
  <si>
    <t>กล้องจุลทรรศน์ตรวจตาชนิดลำแสงแคบ</t>
  </si>
  <si>
    <t>Slit-Lamp Biomicroscope</t>
  </si>
  <si>
    <t>EM-11</t>
  </si>
  <si>
    <t>เครื่องวัดสายตาอัตโนมัติ</t>
  </si>
  <si>
    <t>Autorefractor</t>
  </si>
  <si>
    <t>EM-12</t>
  </si>
  <si>
    <t>กล้องจุลทรรศน์ตรวจตาชนิดลำแสงแคบ พร้อมระบบเก็บภาพดิจิตอล</t>
  </si>
  <si>
    <t>Slit-Lamp Biomicroscope with Digital Imaging System</t>
  </si>
  <si>
    <t>EM-13</t>
  </si>
  <si>
    <t>กล้องถ่ายภาพจอประสาทตาดิจิตอล</t>
  </si>
  <si>
    <t>Digital Fundus Camera</t>
  </si>
  <si>
    <t>EM-14</t>
  </si>
  <si>
    <t>เครื่องตรวจตาด้วยคลื่นเสียงความถี่สูงชนิดเอและบีสแกน</t>
  </si>
  <si>
    <t>Ophthalmic Ultrasound A, B Scan</t>
  </si>
  <si>
    <t>EM-15</t>
  </si>
  <si>
    <t>เครื่องรักษาโรคตาด้วยแสงเลเซอร์แย็ก</t>
  </si>
  <si>
    <t>Ophthalmic Neodymium YAG laser</t>
  </si>
  <si>
    <t>EM-16</t>
  </si>
  <si>
    <t>เครื่องตรวจกระจกตาแบบ Specular Microscopy</t>
  </si>
  <si>
    <t>Corneal Specular Microscopy</t>
  </si>
  <si>
    <t>EM-17</t>
  </si>
  <si>
    <t>เครื่องวิเคราะห์ความโค้งของกระจกตา</t>
  </si>
  <si>
    <t>Corneal Topography</t>
  </si>
  <si>
    <t>EM-18</t>
  </si>
  <si>
    <t>เครื่องรักษาโรคตาด้วยแสงเลเซอร์สีเขียว</t>
  </si>
  <si>
    <t>Frequency-Doubled Ophthalmic Green Laser</t>
  </si>
  <si>
    <t>EM-19</t>
  </si>
  <si>
    <t>เครื่องวัดเลนส์แก้วตาเทียมด้วยเลเซอร์</t>
  </si>
  <si>
    <t>Optical Biometry for Intraocular Lens Calculation</t>
  </si>
  <si>
    <t>EM-20</t>
  </si>
  <si>
    <t>เครื่องตรวจตาด้วยคลื่นเสียงความถี่สูงชนิดเอและบีสแกน ยูบีเอ็ม</t>
  </si>
  <si>
    <t>Ophthalmic Ultrasound A, B Scan with UBM</t>
  </si>
  <si>
    <t>EM-21</t>
  </si>
  <si>
    <t>เครื่องมือรักษาโรคตาด้วยไดโอดเลเซอร์</t>
  </si>
  <si>
    <t>Ophthalmic Transcleral Diode Laser</t>
  </si>
  <si>
    <t>EM-22</t>
  </si>
  <si>
    <t>เครื่องตรวจวัดลานสายตาอัตโนมัติ</t>
  </si>
  <si>
    <t>Automated Visual Field</t>
  </si>
  <si>
    <t>EM-23</t>
  </si>
  <si>
    <t>เครื่องรักษาโรคต้อหินด้วยวิธีเลเซอร์</t>
  </si>
  <si>
    <t>Laser for Selective Laser Trabeculoplasty (SLT)</t>
  </si>
  <si>
    <t>EM-24</t>
  </si>
  <si>
    <t>เครื่องรักษาโรคตาด้วยเลเซอร์พร้อมชุดเลเซอร์จอประสาทตาทางอ้อม</t>
  </si>
  <si>
    <t>Ophthalmic Laser with Indirect Ophthalmoscope (LIO)</t>
  </si>
  <si>
    <t>EM-25</t>
  </si>
  <si>
    <t>เครื่องวิเคราะห์การมองเห็นของจุดรับภาพจอประสาทตา</t>
  </si>
  <si>
    <t>Microperimeter with Confocal Scanning Laser Ophthalmoscopy (SLO)</t>
  </si>
  <si>
    <t>EM-26</t>
  </si>
  <si>
    <t>เครื่องถ่ายภาพจอประสาทตามุมกว้างวิเคราะห์การไหลเวียนของเส้นเลือด</t>
  </si>
  <si>
    <t>Widefield Retinal Imaging  with Fluorescein Angiography</t>
  </si>
  <si>
    <t>EM-27</t>
  </si>
  <si>
    <t>เครื่องตรวจวิเคราะห์กระจกตาและความโค้งกระจกตาระบบวงแหวนพลาซิโด้</t>
  </si>
  <si>
    <t>Corneal Topography, Tomography</t>
  </si>
  <si>
    <t>EM-28</t>
  </si>
  <si>
    <t>เครื่องผ่าตัดต้อกระจกด้วยคลื่นเสียงความถี่สูง</t>
  </si>
  <si>
    <t>Phacoemulsification Machine</t>
  </si>
  <si>
    <t>EM-29</t>
  </si>
  <si>
    <t>เครื่องผ่าตัดน้ำวุ้นลูกตา</t>
  </si>
  <si>
    <t>Vitrectomy Machine</t>
  </si>
  <si>
    <t>EM-30</t>
  </si>
  <si>
    <t>เครื่องตรวจวิเคราะห์ช่องว่างลูกตาส่วนหน้าและมุมตาด้วยคลื่นเสียงความถี่สูง</t>
  </si>
  <si>
    <t xml:space="preserve"> Anterior Segment Swept Beam Ultrasound  High Resolution Image </t>
  </si>
  <si>
    <t>EM-31</t>
  </si>
  <si>
    <t>เครื่องรักษาโรคตาด้วยแสงเลเซอร์แบบแพทเทิน</t>
  </si>
  <si>
    <t>Ophthalmic Pattern Laser</t>
  </si>
  <si>
    <t>EM-32</t>
  </si>
  <si>
    <t>เครื่องถ่ายภาพจอประสาทตาด้วยเลเซอร์ชนิดมุมกว้าง</t>
  </si>
  <si>
    <t xml:space="preserve">Ultra Widefield Fundus Camera </t>
  </si>
  <si>
    <t>EM-33</t>
  </si>
  <si>
    <t>เครื่องตรวจวิเคราะห์ภาพตัดขวางของลูกตาส่วนหน้า</t>
  </si>
  <si>
    <t>Anterior Segment OCT</t>
  </si>
  <si>
    <t>EM-34</t>
  </si>
  <si>
    <t>เครื่องตรวจวิเคราะห์กระจกตาและความโค้งกระจกตา พร้อมวัดความยาวลูกตา</t>
  </si>
  <si>
    <t>Corneal and corneal curvature analyzer with intraocular length measurement</t>
  </si>
  <si>
    <t>EM-35</t>
  </si>
  <si>
    <t>เครื่องผ่าตัดต้อกระจกและผ่าตัดน้ำวุ้นลูกตาส่วนหลัง</t>
  </si>
  <si>
    <t>Phacoemulsification,Vitrectomy Machine</t>
  </si>
  <si>
    <t>EM-36</t>
  </si>
  <si>
    <t>เครื่องตรวจวิเคราะห์แยกชั้นส่วนหลังของดวงตาชนิดความละเอียดสูง</t>
  </si>
  <si>
    <t>Posterior Segment Optical Coherence Tomography with High Definition</t>
  </si>
  <si>
    <t>EM-37</t>
  </si>
  <si>
    <t>เครื่องถ่ายภาพจอประสาทตามุมกว้างชนิดสัมผัส</t>
  </si>
  <si>
    <t>Wide-Field, Contact Fundus Camera</t>
  </si>
  <si>
    <t>EM-38</t>
  </si>
  <si>
    <t>เครื่องผ่าตัดน้ำวุ้นลูกตา พร้อมเลเซอร์</t>
  </si>
  <si>
    <t>Vitrectomy Machine with Laser</t>
  </si>
  <si>
    <t>EM-39</t>
  </si>
  <si>
    <t>เครื่องตรวจวิเคราะห์แยกชั้นจอประสาทตาชนิดถ่ายภาพจอประสาทตา</t>
  </si>
  <si>
    <t>High Speed Scan OCT and Fundus Camera</t>
  </si>
  <si>
    <t>EM-40</t>
  </si>
  <si>
    <t>เครื่องตรวจวิเคราะห์แยกชั้นส่วนหลังของดวงตาและคำนวนเลนส์แก้วตาเทียม</t>
  </si>
  <si>
    <t xml:space="preserve">Posterior Segment Optical Coherence Tomography and Optical Biometry </t>
  </si>
  <si>
    <t>EM-41</t>
  </si>
  <si>
    <t>เครื่องตรวจวิเคราะห์แยกชั้นส่วนหลังของตา พร้อมตรวจวัดวิเคราะห์พื้นผิวกระจกตา</t>
  </si>
  <si>
    <t>Posterior Segment Optical Coherence Tomography and Topography</t>
  </si>
  <si>
    <t>EM-42</t>
  </si>
  <si>
    <t>เครื่องรักษาโรคตาด้วยแสงเลเซอร์ชนิด 2สีแบบแพทเทิน</t>
  </si>
  <si>
    <t xml:space="preserve">Ophthalmic  Pattern Laser with 2 Wavelength </t>
  </si>
  <si>
    <t>EM-43</t>
  </si>
  <si>
    <t>ระบบการจัดเก็บภาพเครื่องมือด้านจักษุ ไม่น้อยกว่า 20 จุด</t>
  </si>
  <si>
    <t>Image Management</t>
  </si>
  <si>
    <t>EM-44</t>
  </si>
  <si>
    <t>เครื่องตรวจวิเคราะห์แยกชั้นและตรวจหลอดเลือดส่วนหลังของดวงตา</t>
  </si>
  <si>
    <t>A stratified analyzer and an examination of the posterior blood vessels of the eye</t>
  </si>
  <si>
    <t>EM-45</t>
  </si>
  <si>
    <t>เครื่องรักษาโรคตาด้วยแสงเลเซอร์ชนิด 3 สีแบบแพทเทิน</t>
  </si>
  <si>
    <t xml:space="preserve">Ophthalmic  Pattern Laser with 3 Wavelength </t>
  </si>
  <si>
    <t>EM-46</t>
  </si>
  <si>
    <t>เครื่องถ่ายภาพจอประสาทตาและแยกชั้นส่วนหลัง พร้อมวัดเลนส์แก้วตาเทียม</t>
  </si>
  <si>
    <t xml:space="preserve">Fundus Camera and Optical Coherence Tomography and Optical Biometry. </t>
  </si>
  <si>
    <t>EM-47</t>
  </si>
  <si>
    <t>เครื่องรักษาโรคตาด้วยแสงเลเซอร์ชนิด 4 สีแบบแพทเทิน</t>
  </si>
  <si>
    <t xml:space="preserve">Ophthalmic  Pattern Laser with 4 Wavelength </t>
  </si>
  <si>
    <t>EM-48</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</si>
  <si>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</si>
  <si>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</si>
  <si>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EM-49</t>
  </si>
  <si>
    <t>เครื่องวิเคราะห์ชั้นจอประสาทตาและเส้นเลือดแบบมุมกว้าง 3 มิติ</t>
  </si>
  <si>
    <t>Posterior Segment Optical Coherence Tomography and OCTA  with  Wide-Field Swept Source OCT</t>
  </si>
  <si>
    <t>EM-50</t>
  </si>
  <si>
    <t>เครื่องถ่ายภาพจอประสาทตา 200 อาศาและแยกชั้นส่วนหลังของดวงตา</t>
  </si>
  <si>
    <t>Ultra-Widefield Retinal Imaging 200 Degree and FFA and ICG  Device with  Swept Source OCT</t>
  </si>
  <si>
    <t>EM-51</t>
  </si>
  <si>
    <t>เครื่องสแกนภาพตัดขวางช่องว่างลูกตาส่วนหน้าและกระจกตาอัตโนมัติ</t>
  </si>
  <si>
    <t>Very high frequency ultrasonic arc scan</t>
  </si>
  <si>
    <t>EM-52</t>
  </si>
  <si>
    <t>กล้องถ่ายภาพจอประสาทตาแบบดิจิตอล พร้อมระบบวัดลานสายตา</t>
  </si>
  <si>
    <t>Digital fundus camera  with visual field</t>
  </si>
  <si>
    <t>EM-53</t>
  </si>
  <si>
    <t>เครื่องตรวจวิเคราะห์ตาแห้งแบบไม่สัมผัส วิเคราะห์ไขมันในน้ำตา การแตกตัวผิวน้ำตา และปริมาณน้ำในน้ำตา</t>
  </si>
  <si>
    <t>Dry Eye Diagnostic with Interferometer Test, Tear Meniscus Height and NIBUT</t>
  </si>
  <si>
    <t>EM-54</t>
  </si>
  <si>
    <t>เครื่องนับความหนาแน่นของเซลล์กระจกตาชั้นใน ด้วยระบบภาพถ่ายสี</t>
  </si>
  <si>
    <t>Specular Microscope for Endothelium Cell Count</t>
  </si>
  <si>
    <t>EM-55</t>
  </si>
  <si>
    <t>กล้องถ่ายภาพลูกตาส่วนหน้าความละเอียดสูง</t>
  </si>
  <si>
    <t>Corneal Topography system; Anterior Segment Tomography</t>
  </si>
  <si>
    <t>EM-56</t>
  </si>
  <si>
    <t>เครื่องผ่าตัดต้อกระจกด้วยคลื่นเสียงความถี่สูง ชนิดเคลื่อนที่ (Mobile)</t>
  </si>
  <si>
    <t>Phacoemulsification (Mobile)</t>
  </si>
  <si>
    <t>EM-57</t>
  </si>
  <si>
    <t>เครื่องวิเคราะห์จอประสาทตา และถ่ายภาพจอประสาทตา แบบมือถือ</t>
  </si>
  <si>
    <t>Hand-held Optical Coherence Tomography (OCT) with Fundus</t>
  </si>
  <si>
    <t>EM-58</t>
  </si>
  <si>
    <t>กล้องตรวจตาชนิดลำแสงแคบ ระบบดิจิตอล ชนิดมือถือ</t>
  </si>
  <si>
    <t>Hand-held Digital Slitlamp Eye Anterior</t>
  </si>
  <si>
    <t>EM-59</t>
  </si>
  <si>
    <t>เครื่องวิเคราะห์พื้นผิวกระจกตา ถ่ายภาพจอประสาทตา และวัดความดันลูกตาแบบไม่สัมผัส</t>
  </si>
  <si>
    <t>Corneal and corneal curvature analyzer with Fundus and Air-Puff Tonometer</t>
  </si>
  <si>
    <t>EM-60</t>
  </si>
  <si>
    <t>เครื่องวัดสายตาอัตโนมัติระบบเวฟฟรอนค์ วัดความดันลูกตา และความหนากระจกตาแบบไม่สัมผัส</t>
  </si>
  <si>
    <t>Wavefront Technology Autorefractor Keratometer with Non-contact Tonometer and Pachymeter</t>
  </si>
  <si>
    <t>EM-61</t>
  </si>
  <si>
    <t>เครื่องวิเคราะห์พื้นผิวกระจกตา ระบบชามฟลุ๊ค ถ่ายภาพมุมตา วัดความหนากระจกตา วัดความดันลูกตา แบบไม่สัมผัส ระบบอัตโนมัติ</t>
  </si>
  <si>
    <t>Multi-modal anterior segment analysis Corneal and corneal curvature with Non-contact Tonometer and Pachymeter</t>
  </si>
  <si>
    <t>EM-62</t>
  </si>
  <si>
    <t>ชุดเครื่องมือผ่าตัดท่อน้ำตา</t>
  </si>
  <si>
    <t>Lacrimal Surgery Instrument Set</t>
  </si>
  <si>
    <t>EM-63</t>
  </si>
  <si>
    <t>ชุดเครื่องมือผ่าตัดเปลือกตา</t>
  </si>
  <si>
    <t>Eyelid Surgery Instrument Set</t>
  </si>
  <si>
    <t>EM-64</t>
  </si>
  <si>
    <t>เครื่องวัดสายตาอัตโนมัติ วัดความดันลูกตาและความหนากระจกตาแบบไม่สัมผัส</t>
  </si>
  <si>
    <t>Auto Refractor with Non-Contact Tonometer and Pachymeter</t>
  </si>
  <si>
    <t>EM-65</t>
  </si>
  <si>
    <t>เครื่องตรวจวิเคราะห์การมองเห็น แบบสองตา</t>
  </si>
  <si>
    <t>Mobile binocular vision screening</t>
  </si>
  <si>
    <t>CSSD-1</t>
  </si>
  <si>
    <t>หม้อต้มเครื่องมือ</t>
  </si>
  <si>
    <t>สำนักงบประมาณ*</t>
  </si>
  <si>
    <t>ฉบับ ธ.ค. 68</t>
  </si>
  <si>
    <t>CSSD-2</t>
  </si>
  <si>
    <t>เครื่องซีลซองแบบมีเครื่องตัดในตัวเครื่องอัตโนมัติ</t>
  </si>
  <si>
    <t>envelope sealing machine with a built-in automatic cutter</t>
  </si>
  <si>
    <t>CSSD-3</t>
  </si>
  <si>
    <t>เครื่องอบฆ่าเชื้อบนพื้นผิวและในอากาศด้วยแก๊สไฮโดรเจนเปอร์ออกไซด์พลาสมา ขนาดห้องไม่น้อยกว่า 3,500 ลูกบาศก์เมตร</t>
  </si>
  <si>
    <t>Surface and Air Sterilizer with Hydrogen Peroxide Plasma Gas Room size not less than 3,500 cubic meters</t>
  </si>
  <si>
    <t>CSSD-4</t>
  </si>
  <si>
    <t>เครื่องล้างกล้องส่องตรวจชนิด 1 หัว</t>
  </si>
  <si>
    <t>Endoscopic Washer,1</t>
  </si>
  <si>
    <t>CSSD-5</t>
  </si>
  <si>
    <t>เครื่องล้างกล้องส่องตรวจชนิด 2 หัว</t>
  </si>
  <si>
    <t>Endoscopic Washer,2</t>
  </si>
  <si>
    <t>CSSD-6</t>
  </si>
  <si>
    <t>เครื่องล้างและฆ่าเชื้อถังขยะติดเชื้อชนิดเปิด-ปิด แบบอัตโนมัติขนาดความจุไม่น้อยกว่า 900 ลิตร</t>
  </si>
  <si>
    <t>Automatic open-close type infectious waste bin washing and sterilization machine with a capacity of not less than 900 liters</t>
  </si>
  <si>
    <t>CSSD-7</t>
  </si>
  <si>
    <t>เครื่องฆ่าเชื้อและกำจัดฝุ่นละอองในอากาศชนิดไร้แผ่นกรองขนาดไม่น้อยกว่า 600 ลูกบาศ์กเมตรต่อชั่วโมง</t>
  </si>
  <si>
    <t>Air sterilizer and dust removal filterless type with a size of not less than 600 cubic meters per hour</t>
  </si>
  <si>
    <t>CSSD-8</t>
  </si>
  <si>
    <t>รถไฟฟ้า พร้อมตู้อลูมิเนียมรับส่งวัสดุอุปกรณ์ทางการแพทย์ด้วยระบบปิด</t>
  </si>
  <si>
    <t>Electric train with aluminum cabinet for delivering medical equipment with a closed system</t>
  </si>
  <si>
    <t>CSSD-9</t>
  </si>
  <si>
    <t>เครื่องล้างเครื่องมืออัตโนมัติขนาดไม่น้อยกว่า 200 ลิตร</t>
  </si>
  <si>
    <t>Automatic tool washer with a capacity of not less than 200 liters</t>
  </si>
  <si>
    <t>CSSD-10</t>
  </si>
  <si>
    <t>เครื่องล้างเครื่องมืออัตโนมัติขนาดไม่น้อยกว่า 650 ลิตร</t>
  </si>
  <si>
    <t>Automatic tool washer with a capacity of not less than 650 liters</t>
  </si>
  <si>
    <t>CSSD-11</t>
  </si>
  <si>
    <t>เครื่องล้างเร็วเครื่องมืออัตโนมัติชนิด 2 ห้องล้างขนาดไม่น้อยกว่า 500 ลิตร</t>
  </si>
  <si>
    <t>Fast washing machine, automatic type, 2 washing rooms, no less than 500 liters</t>
  </si>
  <si>
    <t>CSSD-12</t>
  </si>
  <si>
    <t>เครื่องอบฆ่าเชื้อด้วยแก๊สไฮโดรเจนเปอร์ออกไซด์พลาสมาชนิดตั้งโต๊ะ ขนาด 50 ลิตร</t>
  </si>
  <si>
    <t>Hydrogen Peroxide Plasma Sterilizer</t>
  </si>
  <si>
    <t>CSSD-13</t>
  </si>
  <si>
    <t>เครื่องนึ่งฆ่าเชื้อจุลินทรีย์ด้วยไอน้ำระบบอัตโนมัติขนาดไม่น้อยกว่า 20 ลิตร</t>
  </si>
  <si>
    <t>Automatic steam sterilizer with a capacity of not less than 20 liters</t>
  </si>
  <si>
    <t>CSSD-14</t>
  </si>
  <si>
    <t>เครื่องนึ่งฆ่าเชื้อจุลินทรีย์ด้วยไอน้ำระบบอัตโนมัติขนาดไม่น้อยกว่า 40 ลิตร</t>
  </si>
  <si>
    <t>Automatic steam sterilizer with a capacity of not less than 40 liters</t>
  </si>
  <si>
    <t>CSSD-15</t>
  </si>
  <si>
    <t>เครื่องนึ่งฆ่าเชื้อจุลินทรีย์ด้วยไอน้ำระบบอัตโนมัติขนาดไม่น้อยกว่า 50 ลิตร</t>
  </si>
  <si>
    <t>Automatic steam sterilizer with a capacity of not less than 50 liters</t>
  </si>
  <si>
    <t>CSSD-16</t>
  </si>
  <si>
    <t>เครื่องปิดซองบรรจุเวชภัณฑ์ชนิดมือกด</t>
  </si>
  <si>
    <t>Hand-pressed type of medical packaging pouch sealing machine</t>
  </si>
  <si>
    <t>CSSD-17</t>
  </si>
  <si>
    <t>เครื่องกำเนิดไอน้ำ ขนาดไม่น้อยกว่า 100 แรงม้า</t>
  </si>
  <si>
    <t>steam generator not less than 100 horsepower</t>
  </si>
  <si>
    <t>CSSD-18</t>
  </si>
  <si>
    <t>เครื่องกำเนิดไอน้ำ ขนาดไม่น้อยกว่า 150 แรงม้า</t>
  </si>
  <si>
    <t>steam generator not less than 150 horsepower</t>
  </si>
  <si>
    <t>CSSD-19</t>
  </si>
  <si>
    <t>เครื่องกำเนิดไอน้ำ ขนาดไม่น้อยกว่า 200 แรงม้า</t>
  </si>
  <si>
    <t>steam generator not less than 200 horsepower</t>
  </si>
  <si>
    <t>CSSD-20</t>
  </si>
  <si>
    <t>เครื่องเก็บและเป่าแห้งกล้องส่องตรวจระบบทางเดินอาหารชนิดอัตโนมัติขนาดความจุไม่น้อยกว่า 6 ชุด</t>
  </si>
  <si>
    <t>Gastrointestinal gastroscopy automatic collecting and drying machine, capacity of not less than 6 sets</t>
  </si>
  <si>
    <t>CSSD-21</t>
  </si>
  <si>
    <t>เครื่องควบคุมการจ่ายแก๊สไนตริกออกไซด์ พร้อมจอแสดงผล</t>
  </si>
  <si>
    <t>Nitric Oxide Gas Regulator with Display</t>
  </si>
  <si>
    <t>CSSD-22</t>
  </si>
  <si>
    <t>เครื่องนึ่งฆ่าเชื้อจุลินทรีย์ด้วยไอน้ำระบบอัตโนมัติขนาดไม่น้อยกว่า 100 ลิตร ห้องนึ่งทรงกระบอก</t>
  </si>
  <si>
    <t>Pre - Post - Vac, 100 L</t>
  </si>
  <si>
    <t>CSSD-23</t>
  </si>
  <si>
    <t>เครื่องนึ่งฆ่าเชื้อจุลินทรีย์ด้วยไอน้ำระบบอัตโนมัติขนาดไม่น้อยกว่า 700 ลิตร ห้องนึ่งทรงกระบอกชนิด 1 ประตู</t>
  </si>
  <si>
    <t>Pre - Post - Vac, 700 L</t>
  </si>
  <si>
    <t>CSSD-24</t>
  </si>
  <si>
    <t>เครื่องนึ่งฆ่าเชื้อจุลินทรีย์ด้วยไอน้ำระบบอัตโนมัติขนาดไม่น้อยกว่า 350 ลิตร</t>
  </si>
  <si>
    <t>Pre - Post - Vac, 350 L</t>
  </si>
  <si>
    <t>CSSD-25</t>
  </si>
  <si>
    <t>เครื่องนึ่งฆ่าเชื้อจุลินทรีย์ด้วยไอน้ำระบบอัตโนมัติขนาดไม่น้อยกว่า 560 ลิตร ห้องนึ่งทรงสี่เหลี่ยมชนิด 1 ประตู</t>
  </si>
  <si>
    <t>Pre - Post - Vac, 560 L</t>
  </si>
  <si>
    <t>CSSD-26</t>
  </si>
  <si>
    <t>เครื่องนึ่งฆ่าเชื้อจุลินทรีย์ด้วยไอน้ำระบบอัตโนมัติขนาดไม่น้อยกว่า 850 ลิตร ห้องนึ่งทรงสี่เหลี่ยมชนิด 1 ประตู</t>
  </si>
  <si>
    <t>Pre - Post - Vac, 850 L</t>
  </si>
  <si>
    <t>CSSD-27</t>
  </si>
  <si>
    <t>เครื่องนึ่งฆ่าเชื้อจุลินทรีย์ด้วยไอน้ำระบบอัตโนมัติขนาดไม่น้อยกว่า 1,300 ลิตร ห้องนึ่งทรงสี่เหลี่ยมชนิด 1 ประตู</t>
  </si>
  <si>
    <t>Pre - Post - Vac, 1,300 L</t>
  </si>
  <si>
    <t>CSSD-28</t>
  </si>
  <si>
    <t>เครื่องนึ่งฆ่าเชื้อจุลินทรีย์ด้วยไอน้ำระบบอัตโนมัติขนาดไม่น้อยกว่า 570 ลิตรชนิด 2 ประตู</t>
  </si>
  <si>
    <t>Pre - Post - Vac, 570 L</t>
  </si>
  <si>
    <t>CSSD-29</t>
  </si>
  <si>
    <t>เครื่องนึ่งฆ่าเชื้อจุลินทรีย์ด้วยไอน้ำระบบอัตโนมัติขนาดไม่น้อยกว่า 890 ลิตรชนิด 2 ประตู</t>
  </si>
  <si>
    <t>Pre - Post - Vac, 890 L</t>
  </si>
  <si>
    <t>CSSD-30</t>
  </si>
  <si>
    <t>เครื่องนึ่งฆ่าเชื้อด้วยแก๊สฟอร์มาลดิไฮด์ขนาดไม่น้อยกว่า 240 ลิตร</t>
  </si>
  <si>
    <t>No less than 240 liters of formaldehyde gas sterilizer</t>
  </si>
  <si>
    <t>CSSD-31</t>
  </si>
  <si>
    <t>เครื่องล้างเครื่องมืออัตโนมัติขนาดไม่น้อยกว่า 150 ลิตร</t>
  </si>
  <si>
    <t>Automatic tool washer with a capacity of not less than 150 liters</t>
  </si>
  <si>
    <t>CSSD-32</t>
  </si>
  <si>
    <t>เครื่องล้างเครื่องมืออัตโนมัติขนาดไม่น้อยกว่า 250 ลิตร</t>
  </si>
  <si>
    <t>Automatic tool washer with a capacity of not less than 250 liters</t>
  </si>
  <si>
    <t>CSSD-33</t>
  </si>
  <si>
    <t>เครื่องล้างเครื่องมืออัตโนมัติขนาดไม่น้อยกว่า 320 ลิตร</t>
  </si>
  <si>
    <t>Automatic tool washer with a capacity of not less than 320 liters</t>
  </si>
  <si>
    <t>CSSD-34</t>
  </si>
  <si>
    <t>เครื่องล้างเครื่องมืออัตโนมัติขนาดไม่น้อยกว่า 450 ลิตร</t>
  </si>
  <si>
    <t>Automatic tool washer with a capacity of not less than 450 liters</t>
  </si>
  <si>
    <t>CSSD-35</t>
  </si>
  <si>
    <t>เครื่องล้างเครื่องมืออัตโนมัติขนาดไม่น้อยกว่า 500 ลิตร</t>
  </si>
  <si>
    <t>Automatic tool washer with a capacity of not less than 500 liters</t>
  </si>
  <si>
    <t>CSSD-36</t>
  </si>
  <si>
    <t>เครื่องล้างเครื่องมืออัตโนมัติขนาดไม่น้อยกว่า 2,000 ลิตร</t>
  </si>
  <si>
    <t>Automatic tool washer with a capacity of not less than 2,000 liters</t>
  </si>
  <si>
    <t>CSSD-37</t>
  </si>
  <si>
    <t>เครื่องล้างเครื่องมืออัลตราโซนิก ขนาดไม่น้อยกว่า 20 ลิตร</t>
  </si>
  <si>
    <t>Ultrasonic tool cleaner size not less than 20 liters</t>
  </si>
  <si>
    <t>CSSD-38</t>
  </si>
  <si>
    <t>เครื่องล้างเครื่องมืออัลตราโซนิก ขนาดไม่น้อยกว่า 40 ลิตร</t>
  </si>
  <si>
    <t>Ultrasonic tool cleaner size not less than 40 liters</t>
  </si>
  <si>
    <t>CSSD-39</t>
  </si>
  <si>
    <t>เครื่องล้างเครื่องมืออัลตราโซนิก ชนิด 2 หลุมล้าง ขนาดความจุไม่น้อยกว่า 50 ลิตร</t>
  </si>
  <si>
    <t>Ultrasonic cleaning machine, type 2 washing holes, capacity not less than 50 liters</t>
  </si>
  <si>
    <t>CSSD-40</t>
  </si>
  <si>
    <t>เครื่องล้างเครื่องมืออัลตร้าโซนิก ชนิด 3 หลุมล้าง ขนาดความจุไม่น้อยกว่า 80 ลิตร</t>
  </si>
  <si>
    <t>Ultrasonic cleaning machine, type 3 washing holes, capacity not less than 80 liters</t>
  </si>
  <si>
    <t>CSSD-41</t>
  </si>
  <si>
    <t>เครื่องล้างเครื่องมืออัลตร้าโซนิก ชนิด 3 หลุมล้าง ขนาดความจุไม่น้อยกว่า 120 ลิตร</t>
  </si>
  <si>
    <t>Ultrasonic cleaning machine, type 3 washing holes, capacity not less than 120 liters</t>
  </si>
  <si>
    <t>CSSD-42</t>
  </si>
  <si>
    <t>เครื่องล้างสายยางอัตโนมัติ พร้อมอบแห้ง ขนาดความจุไม่น้อยกว่า 800 ลิตร</t>
  </si>
  <si>
    <t>Automatic hose washer and dryer Capacity not less than 800 liters</t>
  </si>
  <si>
    <t>CSSD-43</t>
  </si>
  <si>
    <t>เครื่องล้างสายยางอัตโนมัติ พร้อมอบแห้ง ขนาดความจุไม่น้อยกว่า 1,200 ลิตร</t>
  </si>
  <si>
    <t>Automatic hose washer and dryer The capacity is not less than 1,200 liters</t>
  </si>
  <si>
    <t>CSSD-44</t>
  </si>
  <si>
    <t>เครื่องอบฆ่าเชื้ออัตโนมัติด้วยแก๊สเอทิลีนออกไซด์ 100 % แบบเจาะแก๊สอัตโนมัติขนาดความจุไม่น้อยกว่า 150 ลิตร</t>
  </si>
  <si>
    <t>100% Ethylene Oxide Gas Sterilizer, Automatic Gas Penetration Type, Capacity Not Less Than 150 Liters</t>
  </si>
  <si>
    <t>CSSD-45</t>
  </si>
  <si>
    <t>เครื่องอบฆ่าเชื้ออัตโนมัติด้วยแก๊สเอทิลีนออกไซด์ 100 % แบบเจาะแก๊สอัตโนมัติขนาดความจุไม่น้อยกว่า 240 ลิตร</t>
  </si>
  <si>
    <t>100% Ethylene Oxide Gas Sterilizer, Automatic Gas Penetration Type, Capacity not less than 240 liters</t>
  </si>
  <si>
    <t>CSSD-46</t>
  </si>
  <si>
    <t>เครื่องอบฆ่าเชื้ออัตโนมัติด้วยแก๊สเอทิลีนออกไซด์ 100 % แบบเจาะแก๊สอัตโนมัติขนาดความจุไม่น้อยกว่า 450 ลิตร</t>
  </si>
  <si>
    <t>100% Ethylene Oxide Gas Sterilizer, Automatic Gas Penetration Type, Capacity not less than 450 liters</t>
  </si>
  <si>
    <t>CSSD-47</t>
  </si>
  <si>
    <t>เครื่องอบฆ่าเชื้ออัตโนมัติด้วยแก๊สเอทิลีนออกไซด์ 100 % แบบเจาะแก๊สอัตโนมัติขนาดความจุไม่น้อยกว่า 650 ลิตร</t>
  </si>
  <si>
    <t>100% Ethylene Oxide Gas Sterilizer, Automatic Gas Penetration Type, Capacity Not Less Than 650 Liters</t>
  </si>
  <si>
    <t>CSSD-48</t>
  </si>
  <si>
    <t>เครื่องอบฆ่าเชื้ออัตโนมัติด้วยไฮโดรเจนเปอร์ออกไซด์ ขนาดความจุไม่น้อยกว่า 160 ลิตร</t>
  </si>
  <si>
    <t>Automatic Sterilizer with Hydrogen Peroxide The capacity is not less than 160 liters</t>
  </si>
  <si>
    <t>CSSD-49</t>
  </si>
  <si>
    <t>เครื่องอบฆ่าเชื้ออัตโนมัติด้วยไฮโดรเจนเปอร์ออกไซด์ ขนาดความจุไม่น้อยกว่า 240 ลิตร</t>
  </si>
  <si>
    <t>Automatic Sterilizer with Hydrogen Peroxide The capacity is not less than 240 liters</t>
  </si>
  <si>
    <t>CSSD-50</t>
  </si>
  <si>
    <t>เครื่องอ่านและจ่ายก๊าซไนตริกออกไซด์</t>
  </si>
  <si>
    <t>Nitric Oxide gas reader and dispenser</t>
  </si>
  <si>
    <t>CSSD-51</t>
  </si>
  <si>
    <t>ตู้อบเครื่องมือแพทย์ความจุไม่น้อยกว่า 570 ลิตร</t>
  </si>
  <si>
    <t>Medical device incubator with a capacity of not less than 570 liters</t>
  </si>
  <si>
    <t>CSSD-52</t>
  </si>
  <si>
    <t>เครื่องอบฆ่าเชื้อแบบรวดเร็วด้วยระบบไฮโดรเจนเพอร์ออกไซด์พลาสมา</t>
  </si>
  <si>
    <t>Plasma Sterilizer</t>
  </si>
  <si>
    <t>CSSD-53</t>
  </si>
  <si>
    <t>เครื่องอบฆ่าเชื้อด้วยแก๊สไฮโดรเจนเปอร์ออกไซด์พลาสมา (Hydrogen Peroxide Plasma Sterilizer) HO-160 ขนาด 160 ลิตร</t>
  </si>
  <si>
    <t>Hydrogen Peroxide Plasma Sterilizer szie 60 Litre</t>
  </si>
  <si>
    <t>ฉบับ ก.พ. 66</t>
  </si>
  <si>
    <t>พฤษภาคม 2562 – พฤษภาคม 2570 (8 ปี)</t>
  </si>
  <si>
    <t>CSSD-54</t>
  </si>
  <si>
    <t>เครื่องอบฆ่าเชื้อด้วยแก๊สไฮโดรเจนเปอร์ออกไซด์พลาสมา (Hydrogen Peroxide Plasma Sterilizer) HO-240 ขนาด 240 ลิตร</t>
  </si>
  <si>
    <t>Hydrogen Peroxide Plasma Sterilizer szie 240 Litre</t>
  </si>
  <si>
    <t>CSSD-55</t>
  </si>
  <si>
    <t>เครื่องนึ่งฆ่าเชื้อจุลินทรีย์ด้วยไอน้ำระบบอัตโนมัติขนาดความจุ 600 ลิตร (Steam Sterilizers) / A995P / ขนาด 600 ลิตร</t>
  </si>
  <si>
    <t>Steam Sterilizers, 600 L</t>
  </si>
  <si>
    <t>เมษายน 2563 – เมษายน 2571 (8 ปี)</t>
  </si>
  <si>
    <t>CSSD-56</t>
  </si>
  <si>
    <t>เครื่องนึ่งฆ่าเชื้อจุลินทรีย์ด้วยไอน้ำระบบอัตโนมัติขนาดความจุ 900 ลิตร (Steam Sterilizers) / A999P / ขนาด 900 ลิตร</t>
  </si>
  <si>
    <t>Steam Sterilizers, 900 L</t>
  </si>
  <si>
    <t>CSSD-57</t>
  </si>
  <si>
    <t>เครื่องนึ่งฆ่าเชื้อจุลินทรีย์ด้วยไอน้ำระบบอัตโนมัติ (Steam Sterilizers) / A879 / ขนาด 60 ลิตร</t>
  </si>
  <si>
    <t>Steam Sterilizers, 60 L</t>
  </si>
  <si>
    <t>พฤศจิกายน 2564 – เมษายน 2571 (6 ปี 5 เดือน)</t>
  </si>
  <si>
    <t>CSSD-58</t>
  </si>
  <si>
    <t>เครื่องนึ่งฆ่าเชื้อจุลินทรีย์ด้วยไอน้ำระบบอัตโนมัติ (Steam Sterilizers) / A881 / ขนาด 100 ลิตร</t>
  </si>
  <si>
    <t>Steam Sterilizers, 100 L</t>
  </si>
  <si>
    <t>CSSD-59</t>
  </si>
  <si>
    <t>เครื่องนึ่งฆ่าเชื้อจุลินทรีย์ด้วยไอน้ำระบบอัตโนมัติ (Steam Sterilizers) / A882 / ขนาด 265 ลิตร</t>
  </si>
  <si>
    <t>Steam Sterilizers, 265 L</t>
  </si>
  <si>
    <t>CSSD-60</t>
  </si>
  <si>
    <t>เครื่องนึ่งฆ่าเชื้อจุลินทรีย์ด้วยไอน้ำระบบอัตโนมัติ (Steam Sterilizers) / A884 / ขนาด 360 ลิตร</t>
  </si>
  <si>
    <t>Steam Sterilizers, 360 L</t>
  </si>
  <si>
    <t>CSSD-61</t>
  </si>
  <si>
    <t>เครื่องนึ่งฆ่าเชื้อจุลินทรีย์ด้วยไอน้ำระบบอัตโนมัติ (Steam Sterilizers) / A870 / ขนาด 700 ลิตร</t>
  </si>
  <si>
    <t>Steam Sterilizers, 700 L</t>
  </si>
  <si>
    <t>CSSD-62</t>
  </si>
  <si>
    <t>เครื่องกรองอนุภาคในอากาศและกำจัดไวรัสชนิดเคลื่อนย้ายได้</t>
  </si>
  <si>
    <t>Mobile Air Sterilization Station</t>
  </si>
  <si>
    <t>CSSD-63</t>
  </si>
  <si>
    <t>เครื่องบำบัดขยะติดเชื้อด้วยการบดย่อยและฆ่าเชื้อด้วยไอน้ำแบบอัตโนมัติ ขนาดความจุไม่น้อยกว่า 350 ลิตร</t>
  </si>
  <si>
    <t>Medical waste autoclave with shredder 350 liters</t>
  </si>
  <si>
    <t>CSSD-64</t>
  </si>
  <si>
    <t>เครื่องบำบัดขยะติดเชื้อด้วยการบดย่อยและฆ่าเชื้อด้วยไอน้ำแบบอัตโนมัติ ขนาดความจุไม่น้อยกว่า 700 ลิตร</t>
  </si>
  <si>
    <t>Medical waste autoclave with shredder 700 liters</t>
  </si>
  <si>
    <t>CSSD-65</t>
  </si>
  <si>
    <t>เครื่องบำบัดขยะติดเชื้อด้วยการบดย่อยและฆ่าเชื้อด้วยไอน้ำแบบอัตโนมัติ ขนาดความจุไม่น้อยกว่า 1,000 ลิตร</t>
  </si>
  <si>
    <t>Medical waste autoclave with shredder 1,000 liters</t>
  </si>
  <si>
    <t>CSSD-66</t>
  </si>
  <si>
    <t>เครื่องบำบัดขยะติดเชื้อด้วยการบดย่อยและฆ่าเชื้อด้วยไอน้ำแบบอัตโนมัติ ขนาดความจุไม่น้อยกว่า 2,000 ลิตร</t>
  </si>
  <si>
    <t>Medical waste autoclave with shredder 2,000 liters</t>
  </si>
  <si>
    <t>CSSD-67</t>
  </si>
  <si>
    <t>เครื่องบำบัดแก๊สเอทธีลีนออกไซด์ 100%</t>
  </si>
  <si>
    <t>Ethylenne Oxide 100% Abator</t>
  </si>
  <si>
    <t>CSSD-68</t>
  </si>
  <si>
    <t>เครื่องอบความร้อนและระบายแก๊สเอทธีลีนออกไซด์ 100% สำหรับวัสดุการแพทย์</t>
  </si>
  <si>
    <t>Ethylenne Oxide 100% Abator for Medical Materials</t>
  </si>
  <si>
    <t>CSSD-69</t>
  </si>
  <si>
    <t>เครื่องนึ่งฆ่าเชื้อด้วยแรงดันไอน้ำ ชนิดตั้งโต๊ะ ขนาดความจุรวมไม่น้อยกว่า 20 ลิตร</t>
  </si>
  <si>
    <t>Steam Sterilizer Autoclave</t>
  </si>
  <si>
    <t>CSSD-70</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</si>
  <si>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</si>
  <si>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</si>
  <si>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CSSD-71</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</si>
  <si>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</si>
  <si>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</si>
  <si>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CSSD-72</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</si>
  <si>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</si>
  <si>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</si>
  <si>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CE-1</t>
  </si>
  <si>
    <t>ชุดเครื่องจี้ชนิดสองขั้ว</t>
  </si>
  <si>
    <t>Bipolar Coagulator Set</t>
  </si>
  <si>
    <t>CE-2</t>
  </si>
  <si>
    <t>เครื่องจี้ตัดและห้ามเลือดในระบบทางเดินอาหารด้วยไฟฟ้า และก๊าซอาร์กอน</t>
  </si>
  <si>
    <t>Electrosurgical Unit with Argon Plasma System</t>
  </si>
  <si>
    <t>CE-3</t>
  </si>
  <si>
    <t>เครื่องจี้ตัดและห้ามเลือดในระบบทางเดินอาหารด้วยไฟฟ้า และก๊าซอาร์กอนชนิดควบคุมความลึก</t>
  </si>
  <si>
    <t>Electrosurgical Unit with Argon Plasma System (Automatic System)</t>
  </si>
  <si>
    <t>CE-4</t>
  </si>
  <si>
    <t>เครื่องตัดผิวหนังด้วยไฟฟ้า หรือแรงดันลม</t>
  </si>
  <si>
    <t>Electrical Dermatome or Air Dermatome</t>
  </si>
  <si>
    <t>CE-5</t>
  </si>
  <si>
    <t>เครื่องมือตัดเนื้อตายโดยใช้แรงขับเคลื่อนของน้ำ</t>
  </si>
  <si>
    <t>Hydrosurgery System</t>
  </si>
  <si>
    <t>CE-6</t>
  </si>
  <si>
    <t>เครื่องจี้ทำลายเนื้อเยื่อปากมดลูกด้วยความร้อน</t>
  </si>
  <si>
    <t>Thermo-coagulation for cervical lesion</t>
  </si>
  <si>
    <t>CE-7</t>
  </si>
  <si>
    <t>เครื่องจี้ตัดปากมดลูกด้วยไฟฟ้า</t>
  </si>
  <si>
    <t>Electric cervical cutting machine</t>
  </si>
  <si>
    <t>CE-8</t>
  </si>
  <si>
    <t>เครื่องตัดปากมดลูก และเครื่องจี้เย็น</t>
  </si>
  <si>
    <t>Cervical cutter and cool pendant</t>
  </si>
  <si>
    <t>CE-9</t>
  </si>
  <si>
    <t>เครื่องจี้ตัดปากมดลูกด้วยคลื่นวิทยุความถี่สูงระบบสองความถี่ พร้อมเครื่องดูดควัน</t>
  </si>
  <si>
    <t>High-frequency radiofrequency cervical slitting machine Dual-frequency system with hood</t>
  </si>
  <si>
    <t>CE-10</t>
  </si>
  <si>
    <t>เครื่องจี้และตัดเนื้อเยื่อด้วยคลื่นวิทยุความถี่สูง พร้อมเครื่องดูดควัน</t>
  </si>
  <si>
    <t>High Frequency Radiofrequency Tissue Slitting and Cutting Machine with Hood</t>
  </si>
  <si>
    <t>CE-11</t>
  </si>
  <si>
    <t>เครื่องจี้ห้ามเลือดและตัดเนื้อเยื่อด้วยไฟฟ้าขนาดไม่น้อยกว่า 120 วัตต์</t>
  </si>
  <si>
    <t>Electrosurgical Power 120 watts</t>
  </si>
  <si>
    <t>CE-12</t>
  </si>
  <si>
    <t>เครื่องจี้ห้ามเลือดและตัดเนื้อเยื่อด้วยไฟฟ้าขนาดไม่น้อยกว่า 200 วัตต์</t>
  </si>
  <si>
    <t>Electrosurgical Power 200 watts</t>
  </si>
  <si>
    <t>CE-13</t>
  </si>
  <si>
    <t>เครื่องจี้ห้ามเลือดและตัดเนื้อเยื่อด้วยไฟฟ้าขนาดไม่น้อยกว่า 300 วัตต์</t>
  </si>
  <si>
    <t>Electrosurgical Power 300 watts</t>
  </si>
  <si>
    <t>CE-14</t>
  </si>
  <si>
    <t>เครื่องจี้ห้ามเลือดและตัดเนื้อเยื่อด้วยไฟฟ้าชนิดปรับพลังงานอัตโนมัติ</t>
  </si>
  <si>
    <t>Electrosurgical Power Automatic Adjustment</t>
  </si>
  <si>
    <t>CE-15</t>
  </si>
  <si>
    <t>เครื่องจี้ห้ามเลือด เลาะเนื้อเยื่อ และเชื่อมปิดหลอดเลือดด้วยระบบไฟฟ้า</t>
  </si>
  <si>
    <t>hemostasis tissue and connect the blood vessels with an electrical system</t>
  </si>
  <si>
    <t>CE-16</t>
  </si>
  <si>
    <t>เครื่องจี้ห้ามเลือด เลาะเนื้อเยื่อ และเชื่อมปิดหลอดเลือดด้วยคลื่นวิทยุความถี่สูง</t>
  </si>
  <si>
    <t>hemostasis tissue and connect the blood vessels with high-frequency radio waves</t>
  </si>
  <si>
    <t>CE-17</t>
  </si>
  <si>
    <t>เครื่องจี้และตัดด้วยไฟฟ้า พร้อมอุปกรณ์เชื่อมปิดหลอดเลือดด้วยระบบอัลตร้าโซนิค</t>
  </si>
  <si>
    <t>Electrocautery and Ultrasonic Vessel Sealing Device</t>
  </si>
  <si>
    <t>CE-18</t>
  </si>
  <si>
    <t>เครื่องจี้ห้ามเลือดสำหรับจี้ผ่านกล้องในการผ่าตัดกระดูกสันหลัง</t>
  </si>
  <si>
    <t>Endoscopic Electrocautery for Spine Surgery</t>
  </si>
  <si>
    <t>respiration</t>
  </si>
  <si>
    <t>RS-1</t>
  </si>
  <si>
    <t>เครื่องช่วยหายใจชนิดควบคุมด้วยปริมาตรสำหรับทารกแรกเกิด</t>
  </si>
  <si>
    <t>Infant Ventilator</t>
  </si>
  <si>
    <t>RS-2</t>
  </si>
  <si>
    <t>เครื่องช่วยหายใจสำหรับทารกแรกเกิดชนิดความถี่สูง</t>
  </si>
  <si>
    <t>High Frequency Oscillatory Ventilator</t>
  </si>
  <si>
    <t>RS-3</t>
  </si>
  <si>
    <t>เครื่องช่วยหายใจชนิดควบคุมด้วยปริมาตรและความดัน ขนาดเล็ก</t>
  </si>
  <si>
    <t>Small Pressure and Volume Control Ventilator</t>
  </si>
  <si>
    <t>RS-4</t>
  </si>
  <si>
    <t>เครื่องช่วยหายใจชนิดควบคุมด้วยปริมาตรและความดัน ขนาดกลาง</t>
  </si>
  <si>
    <t>Medium Pressure and Volume Control Ventilator</t>
  </si>
  <si>
    <t>RS-5</t>
  </si>
  <si>
    <t>เครื่องช่วยหายใจชนิดควบคุมด้วยปริมาตรและความดัน ขนาดใหญ่</t>
  </si>
  <si>
    <t>Large Pressure and Volume Control Ventilator</t>
  </si>
  <si>
    <t>RS-6</t>
  </si>
  <si>
    <t>เครื่องช่วยหายใจชนิดควบคุมด้วยปริมาตรและความดันเคลื่อนย้ายได้</t>
  </si>
  <si>
    <t>Portable Pressure and Volume Control Ventilator</t>
  </si>
  <si>
    <t>RS-7</t>
  </si>
  <si>
    <t>เครื่องให้ออกซิเจนด้วยอัตราการไหลสูง</t>
  </si>
  <si>
    <t>High Flow Oxygen Therapy</t>
  </si>
  <si>
    <t>RS-8</t>
  </si>
  <si>
    <t>เครื่องช่วยหายใจสำหรับใช้ในรถพยาบาล</t>
  </si>
  <si>
    <t>Mobile Ventilator for Ambulance</t>
  </si>
  <si>
    <t>RS-9</t>
  </si>
  <si>
    <t>เครื่องช่วยหายใจสำหรับทารกแรกเกิดชนิดความถี่สูงแบบซับซ้อน</t>
  </si>
  <si>
    <t>Complex High Frequency Oscillatory Ventilator</t>
  </si>
  <si>
    <t>RS-10</t>
  </si>
  <si>
    <t>เครื่องผลิตออกซิเจนขนาด 5 ลิตร</t>
  </si>
  <si>
    <t>5 liter oxygen concentrator</t>
  </si>
  <si>
    <t>RS-11</t>
  </si>
  <si>
    <t>เครื่องผลิตออกซิเจนขนาด 10 ลิตร</t>
  </si>
  <si>
    <t>10 liter oxygen concentrator</t>
  </si>
  <si>
    <t>RS-12</t>
  </si>
  <si>
    <t>เครื่องช่วยหายใจแรงดันเสริม</t>
  </si>
  <si>
    <t>Pressure Support Ventilator</t>
  </si>
  <si>
    <t>RS-13</t>
  </si>
  <si>
    <t>เครื่องช่วยหายใจฉุกเฉิน​แบบพกพา</t>
  </si>
  <si>
    <t>Emergency Ventilation-Resuscitation Device</t>
  </si>
  <si>
    <t>LAB-1</t>
  </si>
  <si>
    <t>เครื่องหมุนเหวี่ยงเพื่อตรวจปริมาตรเม็ดเลือดแดงอัดแน่น</t>
  </si>
  <si>
    <t>Hematocrit Centrifuge</t>
  </si>
  <si>
    <t>LAB-2</t>
  </si>
  <si>
    <t>เครื่องตัดชิ้นเนื้อในงานพยาธิวิทยา</t>
  </si>
  <si>
    <t>Biopsy in pathology</t>
  </si>
  <si>
    <t>LAB-3</t>
  </si>
  <si>
    <t>เครื่องเตรียมชิ้นเนื้ออัตโนมัติ</t>
  </si>
  <si>
    <t>Enclosed tissure processor</t>
  </si>
  <si>
    <t>LAB-4</t>
  </si>
  <si>
    <t>เครื่องเพิ่มปริมาณสารพันธุกรรม</t>
  </si>
  <si>
    <t>PCR machine</t>
  </si>
  <si>
    <t>LAB-5</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</si>
  <si>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</si>
  <si>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Real -Time PCR System (Operation Software and Automated Extraction)</t>
  </si>
  <si>
    <t>LAB-6</t>
  </si>
  <si>
    <t>ตู้บ่มเชื้อควบคุมอุณหภูมิ ไม่น้อยกว่า 100 ลิตร</t>
  </si>
  <si>
    <t>Incubator,100 L</t>
  </si>
  <si>
    <t>LAB-7</t>
  </si>
  <si>
    <t>ตู้บ่มเชื้อควบคุมอุณหภูมิ ไม่น้อยกว่า 200 ลิตร</t>
  </si>
  <si>
    <t>Incubator,200 L</t>
  </si>
  <si>
    <t>LAB-8</t>
  </si>
  <si>
    <t>กล้องจุลทรรศน์ ชนิด 2 ตา สำหรับห้องปฏิบัติการ</t>
  </si>
  <si>
    <t>Binocular Microscope</t>
  </si>
  <si>
    <t>กล้อง</t>
  </si>
  <si>
    <t>LAB-13</t>
  </si>
  <si>
    <t>เลื่อยไฟฟ้าสำหรับผ่าศพ</t>
  </si>
  <si>
    <t>Autopsy saw</t>
  </si>
  <si>
    <t>LAB-14</t>
  </si>
  <si>
    <t>เลื่อยไฟฟ้าสำหรับผ่าศพ พร้อมเครื่องดูดฝุ่นกระดูกสูญญากาศ</t>
  </si>
  <si>
    <t>Autopsy saw with bone dust vacuum collector</t>
  </si>
  <si>
    <t>LAB-15</t>
  </si>
  <si>
    <t>ชุดเครื่องมือผ่าศพขนาดเล็ก</t>
  </si>
  <si>
    <t>Autopsy minor Set</t>
  </si>
  <si>
    <t>LAB-16</t>
  </si>
  <si>
    <t>ชุดเครื่องมือผ่าศพขนาดใหญ่</t>
  </si>
  <si>
    <t>Autopsy major Set</t>
  </si>
  <si>
    <t>LAB-17</t>
  </si>
  <si>
    <t>ลิฟท์ยกศพไฟฟ้า</t>
  </si>
  <si>
    <t>Electric body lift</t>
  </si>
  <si>
    <t>LAB-18</t>
  </si>
  <si>
    <t>ชุดเครื่องมือตรวจวัดระดับสารระเหยในร่างกายมนุษย์ และชุดตรวจวัดสารแบบแมสสเปกโตรมิเตอร์</t>
  </si>
  <si>
    <t>Gas chromatograph analyzer and Mass spectrometer</t>
  </si>
  <si>
    <t>LAB-19</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</si>
  <si>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</si>
  <si>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</si>
  <si>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LAB-20</t>
  </si>
  <si>
    <t>ชุดเครื่องมือโครมาโทกราฟของเหลวประสิทธิภาพสูง และแมสสเปคโตรมิเตอร์</t>
  </si>
  <si>
    <t>Liquid Chromatograph analyzer and Mass Spectrometer</t>
  </si>
  <si>
    <t>LAB-21</t>
  </si>
  <si>
    <t>เครื่องเพิ่มปริมาณสารพันธุกรรมในหลอดทดลอง</t>
  </si>
  <si>
    <t>Conventional PCR machine</t>
  </si>
  <si>
    <t>LAB-23</t>
  </si>
  <si>
    <t>เครื่องตรวจพิสูจน์ดีเอ็นเออัตโนมัติ</t>
  </si>
  <si>
    <t>Automated DNA Sequencer</t>
  </si>
  <si>
    <t>LAB-24</t>
  </si>
  <si>
    <t>เครื่องเขย่าสารอัตโนมัติแบบควบคุมอุณหภูมิ</t>
  </si>
  <si>
    <t>Thermo Shaker</t>
  </si>
  <si>
    <t>LAB-25</t>
  </si>
  <si>
    <t>ตู้ดูดไอระเหยของสารเคมี และกรองอากาศ</t>
  </si>
  <si>
    <t>Biosafety Carbinate</t>
  </si>
  <si>
    <t>LAB-26</t>
  </si>
  <si>
    <t>เครื่องวัดการดูดกลืนแสง</t>
  </si>
  <si>
    <t>Spectophotometer</t>
  </si>
  <si>
    <t>LAB-27</t>
  </si>
  <si>
    <t>เตียงผ่าศพ</t>
  </si>
  <si>
    <t>Autopsy table</t>
  </si>
  <si>
    <t>LAB-28</t>
  </si>
  <si>
    <t>เตียงผ่าศพชนิดติดผนัง</t>
  </si>
  <si>
    <t>Autopsy sink, wall mount</t>
  </si>
  <si>
    <t>LAB-29</t>
  </si>
  <si>
    <t>ตู้เย็นเก็บศพ 2 ศพ</t>
  </si>
  <si>
    <t>Mortuary refrigerator, two bodies</t>
  </si>
  <si>
    <t>LAB-30</t>
  </si>
  <si>
    <t>ตู้เย็นเก็บศพ 4 ศพ</t>
  </si>
  <si>
    <t>Mortuary refrigerator, four bodies</t>
  </si>
  <si>
    <t>LAB-31</t>
  </si>
  <si>
    <t>เครื่องเตรียมชิ้นเนื้อระบบปิด</t>
  </si>
  <si>
    <t>Closed Tissue Processor</t>
  </si>
  <si>
    <t>LAB-32</t>
  </si>
  <si>
    <t>เครื่องตัดชิ้นเนื้อที่อุณหภูมิเยือกแข็ง</t>
  </si>
  <si>
    <t>Cryostat</t>
  </si>
  <si>
    <t>LAB-33</t>
  </si>
  <si>
    <t>เครื่องมือเจาะชิ้นเนื้อเต้านม</t>
  </si>
  <si>
    <t>Band Maxcore Disposible Corebiopsy</t>
  </si>
  <si>
    <t>FT-1</t>
  </si>
  <si>
    <t>เครื่องตรวจสมรรถภาพทารกในครรภ์</t>
  </si>
  <si>
    <t>Fetal Monitor</t>
  </si>
  <si>
    <t>FT-2</t>
  </si>
  <si>
    <t>เครื่องตรวจสมรรถภาพทารกในครรภ์สำหรับตรวจเด็กแฝด</t>
  </si>
  <si>
    <t>Twins Fetal Monitor</t>
  </si>
  <si>
    <t>FT-3</t>
  </si>
  <si>
    <t>เครื่องตรวจสมรรถภาพทารกในครรภ์ภาวะวิกฤตรวมศูนย์ 8 เตียง</t>
  </si>
  <si>
    <t>Central Monitor for Fetal Monitoring</t>
  </si>
  <si>
    <t>FT-4</t>
  </si>
  <si>
    <t>เครื่องฟังเสียงหัวใจทารกในครรภ์</t>
  </si>
  <si>
    <t>Doptone</t>
  </si>
  <si>
    <t>FT-5</t>
  </si>
  <si>
    <t>เครื่องฟังเสียงหัวใจเด็กในครรภ์สำหรับศูนย์สุขภาพชุมชน</t>
  </si>
  <si>
    <t>Fetal Heart Stethoscope for Community Health Center</t>
  </si>
  <si>
    <t>HL-1</t>
  </si>
  <si>
    <t>เครื่องกระตุ้นไฟฟ้าหัวใจชนิดชั่วคราวแบบกระตุ้นหัวใจสองห้องต่อเนื่องกัน</t>
  </si>
  <si>
    <t>Dual Temporary Pacemaker</t>
  </si>
  <si>
    <t>HL-2</t>
  </si>
  <si>
    <t>เครื่องกระตุ้นไฟฟ้าหัวใจชนิดชั่วคราวแบบกระตุ้นหัวใจห้องเดียว</t>
  </si>
  <si>
    <t>Temporary Pacemaker</t>
  </si>
  <si>
    <t>HL-3</t>
  </si>
  <si>
    <t>เครื่องกำจัดลิ่มเลือดภายในหลอดเลือดแดงชนิดใช้แรงดันสูง</t>
  </si>
  <si>
    <t>Blood clot removal machine high pressure type</t>
  </si>
  <si>
    <t>HL-4</t>
  </si>
  <si>
    <t>เครื่องควบคุมความร้อนเย็นของเลือดใช้กับเครื่องหัวใจและปอดเทียมระบบอัตโนมัติ</t>
  </si>
  <si>
    <t>The cold-blood heating regulator is used with an automated artificial heart and lung machine</t>
  </si>
  <si>
    <t>HL-5</t>
  </si>
  <si>
    <t>เครื่องตรวจสมรรภาพการทำงานของหัวใจขณะออกกำลังกาย พร้อมลู่วิ่ง</t>
  </si>
  <si>
    <t>Exercise Stress Test : EST</t>
  </si>
  <si>
    <t>HL-6</t>
  </si>
  <si>
    <t>เครื่องตรวจสรีรวิทยาไฟฟ้าหัวใจชนิดสร้างภาพ 3 มิติ</t>
  </si>
  <si>
    <t>Cardiac Electrophysiology with 3-D Images</t>
  </si>
  <si>
    <t>HL-7</t>
  </si>
  <si>
    <t>เครื่องตรวจหัวใจด้วยคลื่นเสียงความถี่สูงชนิด 4 มิติ</t>
  </si>
  <si>
    <t>4-D Echocardiography</t>
  </si>
  <si>
    <t>HL-8</t>
  </si>
  <si>
    <t>เครื่องตรวจหัวใจด้วยคลื่นเสียงความถี่สูงชนิดผ่านหลอดอาหาร</t>
  </si>
  <si>
    <t>Echocardiography with TEE</t>
  </si>
  <si>
    <t>HL-9</t>
  </si>
  <si>
    <t>เครื่องตรวจหัวใจด้วยคลื่นเสียงความถี่สูงชนิดความคมชัดสูงแบบเคลื่อนที่</t>
  </si>
  <si>
    <t>High Definition Portable Echocardiography</t>
  </si>
  <si>
    <t>HL-10</t>
  </si>
  <si>
    <t>เครื่องตรวจหัวใจด้วยคลื่นเสียงความถี่สูงชนิดความคมชัดสูงไม่น้อยกว่า 2 หัวตรวจ</t>
  </si>
  <si>
    <t>High Definition Echocardiography with at least 2 probes</t>
  </si>
  <si>
    <t>HL-11</t>
  </si>
  <si>
    <t>เครื่องวัดอัตราการไหลและความเร็วของเลือดในเส้นเลือด</t>
  </si>
  <si>
    <t>Blood Flow Velocity Machine</t>
  </si>
  <si>
    <t>HL-12</t>
  </si>
  <si>
    <t>เครื่องสวนหัวใจระนาบเดี่ยว</t>
  </si>
  <si>
    <t>Single Plane Cath Lab</t>
  </si>
  <si>
    <t>HL-13</t>
  </si>
  <si>
    <t>เครื่องสวนหัวใจระนาบเดี่ยว พร้อมเครื่องอัลตราซาวด์หลอดเลือดหัวใจ</t>
  </si>
  <si>
    <t>Single Plane Cath Lab with Intravascular Ultrasound</t>
  </si>
  <si>
    <t>HL-14</t>
  </si>
  <si>
    <t>เครื่องสวนหัวใจสองระนาบ</t>
  </si>
  <si>
    <t>Biplane Cath Lab</t>
  </si>
  <si>
    <t>HL-15</t>
  </si>
  <si>
    <t>เครื่องหัวใจและปอดเทียม</t>
  </si>
  <si>
    <t>Heart Lung Machine</t>
  </si>
  <si>
    <t>HL-16</t>
  </si>
  <si>
    <t>เครื่องหัวใจและปอดเทียมแบบปรับหัวจ่ายได้</t>
  </si>
  <si>
    <t>Heart Lung Machine with adjustable</t>
  </si>
  <si>
    <t>HL-18</t>
  </si>
  <si>
    <t>เครื่องตรวจสมรรถภาพปอดด้วยเครื่องคอมพิวเตอร์</t>
  </si>
  <si>
    <t>Spirometer</t>
  </si>
  <si>
    <t>HL-19</t>
  </si>
  <si>
    <t>เครื่องตรวจสมรรถภาพปอดด้วยเครื่องคอมพิวเตอร์ระดับสูง</t>
  </si>
  <si>
    <t>Lung Function Test</t>
  </si>
  <si>
    <t>HL-20</t>
  </si>
  <si>
    <t>เครื่องพยุงการทำงานของหัวใจและปอด</t>
  </si>
  <si>
    <t>Extracorporeal Membrane Oxygenation(ECMO)</t>
  </si>
  <si>
    <t>HL-21</t>
  </si>
  <si>
    <t>เครื่องพยุงการทำงานของหัวใจและปอดชนิดเคลื่อนย้ายได้</t>
  </si>
  <si>
    <t>Mobile Extracorporeal Membrane Oxygenation(ECMO)</t>
  </si>
  <si>
    <t>HL-22</t>
  </si>
  <si>
    <t>เครื่องตรวจสวนหลอดเลือดหัวใจด้วยคลื่นเสียงความถี่สูง</t>
  </si>
  <si>
    <t>intravascular ultrasound (IVUS)</t>
  </si>
  <si>
    <t>HL-23</t>
  </si>
  <si>
    <t>เครื่องตรวจสวนหลอดเลือดหัวใจด้วยคลื่นแสง</t>
  </si>
  <si>
    <t>intravascular optical coherence tomography (IOCT)</t>
  </si>
  <si>
    <t>HL-24</t>
  </si>
  <si>
    <t>ระบบตู้เก็บและจัดการวัสดุอุปกรณ์ทางการแพทย์พร้อมจ่ายยาสำหรับห้องสวนหัวใจแบบอัตโนมัติ</t>
  </si>
  <si>
    <t>Smart Medical Supply Management System for Cath Lab</t>
  </si>
  <si>
    <t>NE-1</t>
  </si>
  <si>
    <t>เครื่องควบคุมอุณหภูมิร่างกายผู้ป่วย</t>
  </si>
  <si>
    <t>Hypo-Hyperthermia Control System</t>
  </si>
  <si>
    <t>NE-2</t>
  </si>
  <si>
    <t>เครื่องรักษาโดยการทำให้ชักด้วยไฟฟ้า</t>
  </si>
  <si>
    <t>Electroconvulsive Therapy: ECT</t>
  </si>
  <si>
    <t>NE-3</t>
  </si>
  <si>
    <t>เครื่องรักษาโดยการทำให้ชักด้วยไฟฟ้า พร้อมระบบติดตาม</t>
  </si>
  <si>
    <t xml:space="preserve">Electroconvulsive Therapy: ECT with Monitor </t>
  </si>
  <si>
    <t>NE-4</t>
  </si>
  <si>
    <t>เครื่องรักษาด้วยความเย็น พร้อมเครื่องติดตามการทำงานของคลื่นสมอง</t>
  </si>
  <si>
    <t>Hypo-Hyperthermia System Unit (Cooling System with EEG Monitoring)</t>
  </si>
  <si>
    <t>NE-5</t>
  </si>
  <si>
    <t>เครื่องวัดและติดตามความดันในกะโหลกศีรษะ</t>
  </si>
  <si>
    <t>Intracranial Pressure Monitor</t>
  </si>
  <si>
    <t>NE-6</t>
  </si>
  <si>
    <t>เครื่องตรวจวัดคลื่นไฟฟ้าสมอง</t>
  </si>
  <si>
    <t>Electroencephalogram</t>
  </si>
  <si>
    <t>NE-7</t>
  </si>
  <si>
    <t>เครื่องประเมินและฟื้นฟูความสามารถทางสมอง ความคิดและการเรียนรู้ด้วยการใช้เทคโนโลยีภาพเสมือนจริง</t>
  </si>
  <si>
    <t>Virtual reality cognitive assessment and rehabilitation</t>
  </si>
  <si>
    <t>NE-8</t>
  </si>
  <si>
    <t>เครื่องวัดค่าความอิ่มตัวของออกซิเจนในหลอดเลือดสมอง</t>
  </si>
  <si>
    <t>Cerebral Oximeter</t>
  </si>
  <si>
    <t>NE-9</t>
  </si>
  <si>
    <t>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t>
  </si>
  <si>
    <t>AI-based Imaging Analysis System for Acute Stroke Detection and Automated Scoring</t>
  </si>
  <si>
    <t>NE-10</t>
  </si>
  <si>
    <t>เครื่องกระตุ้นด้วยพลังแม่เหล็กผ่านกะโหลกศีรษะ (rTMS)</t>
  </si>
  <si>
    <t>Repetitive Transcranial Magnetic stimulation</t>
  </si>
  <si>
    <t>ME-1</t>
  </si>
  <si>
    <t>เครื่องฟังเสียงหลอดเลือดด้วยคลื่นเสียงความถี่สูงชนิดพกพา</t>
  </si>
  <si>
    <t>Handheld Ultrasound Doppler</t>
  </si>
  <si>
    <t>ME-2</t>
  </si>
  <si>
    <t>เครื่องติดตามสัญญาณชีพทารกในครรภ์และวัดการหดรัดตัวของมดลูกแบบรวมศูนย์ ไม่น้อยกว่า 4 เตียง</t>
  </si>
  <si>
    <t>Centralized Fetal Vital Monitor and Contraction Monitor for no less than 4 beds</t>
  </si>
  <si>
    <t>ME-3</t>
  </si>
  <si>
    <t>เครื่องช่วยนวดหัวใจและฟื้นคืนชีพผู้ป่วยอัตโนมัติ</t>
  </si>
  <si>
    <t>Auto pulse</t>
  </si>
  <si>
    <t>ME-4</t>
  </si>
  <si>
    <t>เครื่องติดตามวัดปริมาณเลือดออกจากหัวใจต่อเนื่องชนิด Non-Invasive</t>
  </si>
  <si>
    <t>Non-Invasive Continuous Cardiac Output Monitor</t>
  </si>
  <si>
    <t>ME-5</t>
  </si>
  <si>
    <t>เครื่องตรวจคลื่นไฟฟ้าหัวใจ พร้อมระบบวิเคราะห์ผล บันทึกกระดาษความร้อนขนาดเอ 4</t>
  </si>
  <si>
    <t xml:space="preserve">Electrocardiography </t>
  </si>
  <si>
    <t>ME-6</t>
  </si>
  <si>
    <t>เครื่องตรวจคลื่นไฟฟ้าหัวใจ พร้อมระบบวิเคราะห์ผล และจัดเก็บภาพในระบบเครือข่าย</t>
  </si>
  <si>
    <t xml:space="preserve">Electrocardiography with DiCOM </t>
  </si>
  <si>
    <t>ME-7</t>
  </si>
  <si>
    <t>เครื่องตรวจติดตามการทำงานของหัวใจชนิดต่อเนื่องไม่น้อยกว่า 24 ชั่วโมง พร้อมระบบประมวลผล ไม่น้อยกว่า 4 เครื่อง</t>
  </si>
  <si>
    <t>Holter Monitoring</t>
  </si>
  <si>
    <t>ME-8</t>
  </si>
  <si>
    <t>เครื่องตรวจและจี้รักษาภาวะหัวใจเต้นผิดจังหวะ</t>
  </si>
  <si>
    <t>Electrophysiology Study and RS Generator</t>
  </si>
  <si>
    <t>ME-9</t>
  </si>
  <si>
    <t>เครื่องตรวจวัดสมรรถนะหลอดเลือดแดงส่วนปลาย</t>
  </si>
  <si>
    <t xml:space="preserve"> ABI</t>
  </si>
  <si>
    <t>ME-10</t>
  </si>
  <si>
    <t>เครื่องตรวจหัวใจด้วยคลื่นเสียงสะท้อนความถี่สูงในเด็ก</t>
  </si>
  <si>
    <t>Pediatric Echocardiogram</t>
  </si>
  <si>
    <t>ME-11</t>
  </si>
  <si>
    <t>เครื่องติดตามการทำงานของหัวใจไร้สายแบบรวมศูนย์ไม่น้อยกว่า 8 ยูนิต</t>
  </si>
  <si>
    <t>Central Monitor + Telemetry 8 Units</t>
  </si>
  <si>
    <t>ME-12</t>
  </si>
  <si>
    <t>เครื่องติดตามการทำงานของหัวใจและสัญญาณชีพ 4 พารามิเตอร์ ระบบรวมศูนย์ไม่น้อยกว่า 4 เตียง</t>
  </si>
  <si>
    <t xml:space="preserve">Central+4 Parameter Monitor ECG,BP,SpO2 IBP,PCO2 4 Beds </t>
  </si>
  <si>
    <t>ME-13</t>
  </si>
  <si>
    <t>เครื่องติดตามการทำงานของหัวใจและสัญญาณชีพ 4 พารามิเตอร์ ระบบรวมศูนย์ไม่น้อยกว่า 8 เตียง</t>
  </si>
  <si>
    <t xml:space="preserve">Central+4 Parameter Monitor ECG,BP,SpO2 IBP,PCO2 8 Beds </t>
  </si>
  <si>
    <t>ME-14</t>
  </si>
  <si>
    <t>เครื่องติดตามการทำงานของหัวใจและสัญญาณชีพ 6 พารามิเตอร์ ระบบรวมศูนย์ไม่น้อยกว่า 4 เตียง</t>
  </si>
  <si>
    <t xml:space="preserve">Central+6 Parameter Monitor ECG,BP,SpO2 IBP,PCO2 4 Beds </t>
  </si>
  <si>
    <t>ME-15</t>
  </si>
  <si>
    <t>เครื่องติดตามการทำงานของหัวใจและสัญญาณชีพ 6 พารามิเตอร์ ระบบรวมศูนย์ไม่น้อยกว่า 8 เตียง</t>
  </si>
  <si>
    <t xml:space="preserve">Central+6 Parameter Monitor ECG,BP,SpO2 IBP,PCO2 Temp 8 Beds </t>
  </si>
  <si>
    <t>ME-16</t>
  </si>
  <si>
    <t>เครื่องติดตามการทำงานของหัวใจและสัญญาณชีพอัตโนมัติ ขนาดกลาง</t>
  </si>
  <si>
    <t>Medium Bedside Monitor</t>
  </si>
  <si>
    <t>ME-17</t>
  </si>
  <si>
    <t>เครื่องติดตามการทำงานของหัวใจและสัญญาณชีพอัตโนมัติ ขนาดเล็ก</t>
  </si>
  <si>
    <t>Small Bedside Monitor</t>
  </si>
  <si>
    <t>ME-18</t>
  </si>
  <si>
    <t>เครื่องติดตามการทำงานของหัวใจและสัญญาณชีพอัตโนมัติ ขนาดใหญ่</t>
  </si>
  <si>
    <t>Large Bedside Monitor</t>
  </si>
  <si>
    <t>ME-19</t>
  </si>
  <si>
    <t>เครื่องติดตามสัญญาณชีพ พร้อมเครื่องกระตุกหัวใจในรถพยาบาลเพื่อเชื่อมต่อระบบศูนย์กลางการรักษาทางไกล</t>
  </si>
  <si>
    <t>Defibrillator with Monitoring for Telemedicine</t>
  </si>
  <si>
    <t>ME-20</t>
  </si>
  <si>
    <t>เครื่องวัดออกซิเจนในเลือดอัตโนมัติชนิดพกพา</t>
  </si>
  <si>
    <t>Pulse Oximeter</t>
  </si>
  <si>
    <t>ME-21</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</si>
  <si>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</si>
  <si>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Central Station for Defibrillator with Monitoring for Telemedicine</t>
  </si>
  <si>
    <t>ME-22</t>
  </si>
  <si>
    <t>เครื่องวัดความดันแบบปรอทตั้งโต๊ะ</t>
  </si>
  <si>
    <t>Desktop Mercury Sphygmonometer</t>
  </si>
  <si>
    <t>ME-23</t>
  </si>
  <si>
    <t>เครื่องวัดความดันโลหิตชนิดอัตโนมัติ พร้อมวัดความอิ่มตัวของออกซิเจนในเลือด</t>
  </si>
  <si>
    <t>Automatic Blood Pressure with Pulse Oximeter</t>
  </si>
  <si>
    <t>ME-24</t>
  </si>
  <si>
    <t>เครื่องวัดความดันโลหิตแบบปรอทตั้งพื้น</t>
  </si>
  <si>
    <t>Floor Stand Mercury Sphygmonometer</t>
  </si>
  <si>
    <t>ME-25</t>
  </si>
  <si>
    <t>เครื่องวัดความดันอัตโนมัติชนิดตั้งโต๊ะ</t>
  </si>
  <si>
    <t>Automatic Blood Pressure</t>
  </si>
  <si>
    <t>ME-26</t>
  </si>
  <si>
    <t>เครื่องวัดความดันอัตโนมัติ พร้อมวัดความเข้มข้นออกซิเจนในเลือดสำหรับทารกแรกคลอด</t>
  </si>
  <si>
    <t>Bedside Infant Monitor (BP with O2 sat)</t>
  </si>
  <si>
    <t>ME-27</t>
  </si>
  <si>
    <t>เครื่องวัดความดันโลหิตแบบสอดแขนชนิดอัตโนมัติ พร้อมระบบเชื่อมต่อฐานข้อมูลโรงพยาบาล</t>
  </si>
  <si>
    <t>Upload-Pressurized Fully Automatic Blood Pressure Monitor with HIS Connectivity</t>
  </si>
  <si>
    <t>ME-28</t>
  </si>
  <si>
    <t>เครื่องวัดความดันโลหิตชนิดอัตโนมัติ วัดความอิ่มตัวของออกซิเจนในเลือด อุณหภูมิร่างกาย พร้อมระบบเชื่อมต่อฐานข้อมูล</t>
  </si>
  <si>
    <t>Vital Signs Monitor</t>
  </si>
  <si>
    <t>ME-29</t>
  </si>
  <si>
    <t>เครื่องวัดความดันโลหิตแบบสอดแขน พร้อมระบบเชื่อมต่อฐานข้อมูล</t>
  </si>
  <si>
    <t>Automatic Blood Pressure Monitor</t>
  </si>
  <si>
    <t>ME-30</t>
  </si>
  <si>
    <t>เครื่องวัดความดันโลหิตแบบสอดแขน อุณหภูมิร่างกาย ดัชนีมวลกาย พร้อมระบบเชื่อมต่อฐานข้อมูล</t>
  </si>
  <si>
    <t>ME-31</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</si>
  <si>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</si>
  <si>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</si>
  <si>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ME-32</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</si>
  <si>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</si>
  <si>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</si>
  <si>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ME-33</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</si>
  <si>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</si>
  <si>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</si>
  <si>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ME-34</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</si>
  <si>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</si>
  <si>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</si>
  <si>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ME-35</t>
  </si>
  <si>
    <t>เครื่องติดตามการทำงานของหัวใจและสัญญาณชีพผู้ป่วยชนิดเคลื่อนย้ายได้</t>
  </si>
  <si>
    <t>Transfer monitor</t>
  </si>
  <si>
    <t>ME-36</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</si>
  <si>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t>
  </si>
  <si>
    <t>Centralized Telemedicine Command System for Emergency Care in Ambulances with Hospital Data Integration at Enterprise Level</t>
  </si>
  <si>
    <t>ระบบ</t>
  </si>
  <si>
    <t>ME-37</t>
  </si>
  <si>
    <t>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t>
  </si>
  <si>
    <t>Centralized Telemedicine Command System for Emergency Care in Ambulances with Subordinate-Level Hospital Data Integration</t>
  </si>
  <si>
    <t>ME-38</t>
  </si>
  <si>
    <t>เครื่องติดตามสัญญาณชีพชนิดเคลื่อนย้ายสำหรับเคลื่อนย้ายทางอากาศ ไม่น้อยกว่า 4 พารามิเตอร์</t>
  </si>
  <si>
    <t>portable 4-parameter monitor (airworthiness)</t>
  </si>
  <si>
    <t>ME-39</t>
  </si>
  <si>
    <t>เครื่องติดตามสัญญาณชีพชนิดเคลื่อนย้ายสำหรับเคลื่อนย้ายทางอากาศ ไม่น้อยกว่า 6 พารามิเตอร์</t>
  </si>
  <si>
    <t>portable 6-parameter monitor (airworthiness)</t>
  </si>
  <si>
    <t>ME-40</t>
  </si>
  <si>
    <t>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t>
  </si>
  <si>
    <t>Virtual Labour Room</t>
  </si>
  <si>
    <t>ME-41</t>
  </si>
  <si>
    <t>เครื่องติดตามอัตราการเต้นหัวใจทารกในครรภ์แฝดและการบีบตัวของมดลูก เชื่อมต่อระบบการแพทย์ทางไกล</t>
  </si>
  <si>
    <t>ME-42</t>
  </si>
  <si>
    <t>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t>
  </si>
  <si>
    <t>Virtual Emergency Room</t>
  </si>
  <si>
    <t>ME-43</t>
  </si>
  <si>
    <t>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t>
  </si>
  <si>
    <t>ME-44</t>
  </si>
  <si>
    <t>เครื่องติดตามสัญญาณชีพอัตโนมัติและตรวจคลื่นไฟฟ้าหัวใจแบบวิเคราะห์ผล 12 ลีด</t>
  </si>
  <si>
    <t>Automated Vital Signs Monitor with 12-Lead ECG Analysis</t>
  </si>
  <si>
    <t>ME-45</t>
  </si>
  <si>
    <t>ชุดตรวจสุขภาพระบบแพทย์ทางไกลแบบพกพา พร้อมระบบบริหารจัดการข้อมูลส่วนกลางและแอพพลิเคชั่นข้อมูลสุขภาพส่วนบุคคล</t>
  </si>
  <si>
    <t>Portable Telemedicine Health Screening Kit with Centralized Data Management System and Personal Health Application</t>
  </si>
  <si>
    <t>ME-46</t>
  </si>
  <si>
    <t>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t>
  </si>
  <si>
    <t>Telehealth Station for Health Screening with Centralized Data Management System and Personal Health Application</t>
  </si>
  <si>
    <t>ME-47</t>
  </si>
  <si>
    <t>ระบบเฝ้าติดตามสัญญาณชีพของผู้ป่วยแบบต่อเนื่องชนิดทางไกลโดยใส่ชุดวัดสัญญาณชีพที่ข้อมือสำหรับโรงพยาบาลขนาดไม่เกิน 100 เตียง</t>
  </si>
  <si>
    <t>Continuous Remote Patient Monitoring for Hospital less than 100 Beds</t>
  </si>
  <si>
    <t>ME-48</t>
  </si>
  <si>
    <t>ระบบเฝ้าติดตามสัญญาณชีพของผู้ป่วยแบบต่อเนื่องชนิดทางไกลโดยใส่ชุดวัดสัญญาณชีพที่ข้อมือสำหรับโรงพยาบาลขนาดระหว่าง 100 - 200 เตียง</t>
  </si>
  <si>
    <t>Continuous Remote Patient Monitoring for Hospital between 100 - 200 Beds</t>
  </si>
  <si>
    <t>ME-49</t>
  </si>
  <si>
    <t>ระบบเฝ้าติดตามสัญญาณชีพของผู้ป่วยแบบต่อเนื่องชนิดทางไกลโดยใส่ชุดวัดสัญญาณชีพที่ข้อมือสำหรับโรงพยาบาลขนาดระหว่าง 200 - 400 เตียง</t>
  </si>
  <si>
    <t>Continuous Remote Patient Monitoring for Hospital between 200 - 400 Beds</t>
  </si>
  <si>
    <t>ME-50</t>
  </si>
  <si>
    <t>ระบบเฝ้าติดตามสัญญาณชีพของผู้ป่วยแบบต่อเนื่องชนิดทางไกลโดยใส่ชุดวัดสัญญาณชีพที่ข้อมือสำหรับโรงพยาบาลขนาดมากกว่า 400 เตียง</t>
  </si>
  <si>
    <t>Continuous Remote Patient Monitoring for Hospital more than 400 Beds</t>
  </si>
  <si>
    <t>ME-51</t>
  </si>
  <si>
    <t>เครื่องตรวจวิเคราะห์ และรักษาภาวะหัวใจเต้นผิดจังหวะพร้อมเครื่องสรีรวิทยาไฟฟ้าหัวใจชนิดสร้างภาพ 3 มิติ</t>
  </si>
  <si>
    <t>ME-52</t>
  </si>
  <si>
    <t>เครื่องตรวจคลื่นไฟฟ้าหัวใจ พร้อมระบบวิเคราะห์ผล และจัดเก็บภาพในระบบฐานข้อมูลโรงพยาบาล</t>
  </si>
  <si>
    <t xml:space="preserve">Electrocardiography with linked Hospital information system </t>
  </si>
  <si>
    <t>OB-1</t>
  </si>
  <si>
    <t>เตียงทำคลอด</t>
  </si>
  <si>
    <t>OB-2</t>
  </si>
  <si>
    <t>เตียงคลอดไฟฟ้า</t>
  </si>
  <si>
    <t xml:space="preserve">Operating Bed for Labour </t>
  </si>
  <si>
    <t>OB-3</t>
  </si>
  <si>
    <t>เตียงผ่าตัดทั่วไป</t>
  </si>
  <si>
    <t>Operating Bed</t>
  </si>
  <si>
    <t>OB-4</t>
  </si>
  <si>
    <t>เตียงผ่าตัดทั่วไประบบไฟฟ้า พร้อมรีโมทคอนโทรล</t>
  </si>
  <si>
    <t>Operating Bed Electric Control</t>
  </si>
  <si>
    <t>OB-5</t>
  </si>
  <si>
    <t>เตียงผ่าตัดด้านศัลยกรรมออร์โธปิดิกส์</t>
  </si>
  <si>
    <t xml:space="preserve">Operating Bed for Orthopedic Surgery </t>
  </si>
  <si>
    <t>OB-6</t>
  </si>
  <si>
    <t>เตียงผ่าตัดศัลยกรรมหลอดเลือดและทรวงอกชนิดเอกซเรย์ผ่านได้</t>
  </si>
  <si>
    <t>Operating Bed for CVT</t>
  </si>
  <si>
    <t>OB-7</t>
  </si>
  <si>
    <t>เตียงผ่าตัดสมอง</t>
  </si>
  <si>
    <t>Operating Bed for Neuro</t>
  </si>
  <si>
    <t>OB-8</t>
  </si>
  <si>
    <t>เตียงผ่าตัดด้านศัลยกรรมออร์โธปิดิกส์และกระดูกสันหลังชนิดเอกซเรย์ผ่านได้</t>
  </si>
  <si>
    <t xml:space="preserve">Operating Bed for Orthopedic and Spine Surgery </t>
  </si>
  <si>
    <t>OB-9</t>
  </si>
  <si>
    <t>เตียงผ่าตัดผู้ป่วยโรคกระดูกสันหลังชนิดหมุนเตียงได้ 360 องศา</t>
  </si>
  <si>
    <t xml:space="preserve">Operating Bed for Orthopedic and Spine Surgery 360 Degree </t>
  </si>
  <si>
    <t>OB-10</t>
  </si>
  <si>
    <t>เตียงผ่าตัดตาระบบไฟฟ้า พร้อมรีโมทคอนโทรล</t>
  </si>
  <si>
    <t>Ophthalmic operating bed Electric Control</t>
  </si>
  <si>
    <t>OB-11</t>
  </si>
  <si>
    <t>เตียงผ่าตัดระบบทางเดินปัสสาวะ ควบคุมการทำงานด้วยระบบไฟฟ้า</t>
  </si>
  <si>
    <t>Electric Urology Surgical Table</t>
  </si>
  <si>
    <t>OB-12</t>
  </si>
  <si>
    <t>เตียงพลิกตัวผู้ป่วยกระดูกคอหัก</t>
  </si>
  <si>
    <t>Stryker frame</t>
  </si>
  <si>
    <t>BP-1</t>
  </si>
  <si>
    <t>เตียงเฟาว์เลอร์ ชนิดมือหมุน แบบ ก</t>
  </si>
  <si>
    <t>Manual Hospital Bed (Fowler Bed) Type A</t>
  </si>
  <si>
    <t>BP-2</t>
  </si>
  <si>
    <t>เตียงเฟาว์เลอร์ ชนิดมือหมุน แบบ ข</t>
  </si>
  <si>
    <t>Manual Hospital Bed (Fowler Bed) Type B</t>
  </si>
  <si>
    <t>BP-3</t>
  </si>
  <si>
    <t>เตียงเฟาว์เลอร์ ชนิดไฟฟ้า</t>
  </si>
  <si>
    <t>Electric Hospital Bed</t>
  </si>
  <si>
    <t>BP-4</t>
  </si>
  <si>
    <t>เตียงตรวจภายใน</t>
  </si>
  <si>
    <t>Obstetric Bed</t>
  </si>
  <si>
    <t>BP-5</t>
  </si>
  <si>
    <t>เตียงเคลื่อนย้ายผู้ป่วยปรับระดับมือหมุน</t>
  </si>
  <si>
    <t>Hand-cranked adjustable patient transport bed</t>
  </si>
  <si>
    <t>BP-6</t>
  </si>
  <si>
    <t>เตียงเคลื่อนย้ายผู้ป่วยปรับระดับไฮดรอลิก พร้อมเอกซเรย์ผ่านได้</t>
  </si>
  <si>
    <t>Hydraulic adjustable patient transport bed with X-ray passable</t>
  </si>
  <si>
    <t>BP-7</t>
  </si>
  <si>
    <t>เตียงตรวจภายในไฟฟ้า</t>
  </si>
  <si>
    <t>Electric Gynecology Bed</t>
  </si>
  <si>
    <t>BP-8</t>
  </si>
  <si>
    <t>เตียงตรวจโรคทั่วไป</t>
  </si>
  <si>
    <t>general examination bed</t>
  </si>
  <si>
    <t>BP-9</t>
  </si>
  <si>
    <t>เตียงผู้ป่วยชนิดมีอุปกรณ์ช่วยพยุงและดึงกระดูก</t>
  </si>
  <si>
    <t>Patient bed with support and bone traction device</t>
  </si>
  <si>
    <t>BP-10</t>
  </si>
  <si>
    <t>เตียงผู้ป่วยชนิดสองไกร์ราวสไลด์ พร้อมเบาะและเสาน้ำเกลือ</t>
  </si>
  <si>
    <t>Double slide rail bed with cushion and saline column</t>
  </si>
  <si>
    <t>BP-11</t>
  </si>
  <si>
    <t>เตียงผู้ป่วยชนิดสองไกร์ราวสไลด์ พร้อมเบาะเสาน้ำเกลือตู้ข้างเตียงและถาดคร่อมเตียง</t>
  </si>
  <si>
    <t>Double bed with slide rails with saline column cushions, bedside cabinets and bed tray</t>
  </si>
  <si>
    <t>BP-12</t>
  </si>
  <si>
    <t>เตียงผู้ป่วยชนิดสามไกร์ปรับด้วยไฟฟ้าราวปีกนก พร้อมเบาะและเสาน้ำเกลือ</t>
  </si>
  <si>
    <t>Electrically adjustable three-gauge pedestal bed with cushion and saline column</t>
  </si>
  <si>
    <t>BP-13</t>
  </si>
  <si>
    <t>เตียงผู้ป่วยชนิดสามไกร์ปรับด้วยไฟฟ้าราวสไลด์ พร้อมเบาะและเสาน้ำเกลือ</t>
  </si>
  <si>
    <t>Electrically adjustable three-trigger bed, slide rail with cushion and saline column</t>
  </si>
  <si>
    <t>BP-14</t>
  </si>
  <si>
    <t>เตียงผู้ป่วยชนิดสามไกร์ราวปีกนก พร้อมเบาะและเสาน้ำเกลือ</t>
  </si>
  <si>
    <t>Three-gauge bunk bed with cushion and saline column</t>
  </si>
  <si>
    <t>BP-15</t>
  </si>
  <si>
    <t>เตียงผู้ป่วยชนิดสามไกร์ราวปีกนก พร้อมเบาะเสาน้ำเกลือตู้ข้างเตียงและถาดคร่อมเตียง</t>
  </si>
  <si>
    <t>Three-gauge pedestal bed with saline column cushion, bedside cabinet and bed tray</t>
  </si>
  <si>
    <t>BP-16</t>
  </si>
  <si>
    <t>เตียงผู้ป่วยชนิดสามไกร์ราวสไลด์ พร้อมเบาะและเสาน้ำเกลือ</t>
  </si>
  <si>
    <t>Three slide rail bed with cushion and saline column</t>
  </si>
  <si>
    <t>BP-17</t>
  </si>
  <si>
    <t>เตียงผู้ป่วยชนิดสามไกร์ราวสไลด์ พร้อมเบาะเสาน้ำเกลือ ตู้ข้างเตียงและถาดคร่อมเตียง</t>
  </si>
  <si>
    <t>Three-rail type patient bed, slide trigger with saline column cushion. Bedside cabinets and bed trays</t>
  </si>
  <si>
    <t>BP-18</t>
  </si>
  <si>
    <t>เตียงผู้ป่วยปรับด้วยไฟฟ้าชนิดมีอุปกรณ์ช่วยพยุงและดึงกระดูก</t>
  </si>
  <si>
    <t>Electric adjustable patient bed with support and bone traction device</t>
  </si>
  <si>
    <t>BP-19</t>
  </si>
  <si>
    <t>เตียงผู้ป่วยสำหรับไอซียูปรับด้วยไฟฟ้าชนิด 4 motor</t>
  </si>
  <si>
    <t>4 motor electric adjustable ICU bed</t>
  </si>
  <si>
    <t>BP-20</t>
  </si>
  <si>
    <t>เตียงเคลื่อนย้ายผู้ป่วยปรับระดับไฮดรอลิก</t>
  </si>
  <si>
    <t>hydraulic adjustable patient transport bed</t>
  </si>
  <si>
    <t>BP-21</t>
  </si>
  <si>
    <t>เตียงผู้ป่วย (เตียงเฟาว์เลอร์) (Hospital Bed (Fowler Bed)) รุ่น AEC - 3M ชนิดมือหมุน แบบ 3 ไกร์ ราวกั้นเตียงกันตกแบบพับ (Manual Hospital Bed 3 Function with 3/4-Length Side Rail)</t>
  </si>
  <si>
    <t>Manual Hospital Bed 3 Function with 3/4-Length Side Rail</t>
  </si>
  <si>
    <t>ฉบับ ต.ค. 63</t>
  </si>
  <si>
    <t>ตุลาคม 2563 – ตุลาคม 2571 (8 ปี)</t>
  </si>
  <si>
    <t>BP-22</t>
  </si>
  <si>
    <t>เปลเคลื่อนย้ายผู้ป่วยความดันลบ (Patient Isolation and Transportation Chamber (PETE))</t>
  </si>
  <si>
    <t>Patient Isolation and Transportation Chamber</t>
  </si>
  <si>
    <t>ฉบับ ก.ค. 65</t>
  </si>
  <si>
    <t>กรกฎาคม 2565 – กรกฎาคม 2573 (8 ปี)</t>
  </si>
  <si>
    <t>CKD-1</t>
  </si>
  <si>
    <t>เครื่องผลิตน้ำบริสุทธิ์สำหรับฟอกเลือด รองรับเครื่องไตเทียม 30 เครื่อง</t>
  </si>
  <si>
    <t>Pure water machine for dialysis (Reverse Osmosis machine) supports 30 hemodialysis machines</t>
  </si>
  <si>
    <t>CKD-2</t>
  </si>
  <si>
    <t>เครื่องผลิตน้ำบริสุทธิ์สำหรับฟอกเลือดชนิดเคลื่อนที่แบบ 2 หัวจ่าย</t>
  </si>
  <si>
    <t>Reverse Osmosis Machine Portable</t>
  </si>
  <si>
    <t>CKD-3</t>
  </si>
  <si>
    <t>ระบบผลิตน้ำบริสุทธิ์แบบจ่ายตรงขนาดไม่น้อยกว่า 5 หัวจ่าย</t>
  </si>
  <si>
    <t>Direct-dispensing pure water production system with a size of not less than 5 nozzles</t>
  </si>
  <si>
    <t>CKD-4</t>
  </si>
  <si>
    <t>ระบบผลิตน้ำบริสุทธิ์แบบจ่ายตรงขนาดไม่น้อยกว่า 10 หัวจ่าย</t>
  </si>
  <si>
    <t>Direct-dispensing pure water production system with a size of not less than 10 nozzles</t>
  </si>
  <si>
    <t>CKD-5</t>
  </si>
  <si>
    <t>ระบบผลิตน้ำบริสุทธิ์แบบจ่ายตรงขนาดไม่น้อยกว่า 15 หัวจ่าย</t>
  </si>
  <si>
    <t>Direct-dispensing pure water production system with a size of not less than 15 nozzles</t>
  </si>
  <si>
    <t>CKD-6</t>
  </si>
  <si>
    <t>ระบบผลิตน้ำบริสุทธิ์แบบจ่ายตรงขนาดไม่น้อยกว่า 20 หัวจ่าย</t>
  </si>
  <si>
    <t>Direct-dispensing pure water production system with a size of not less than 20 nozzles</t>
  </si>
  <si>
    <t>CKD-7</t>
  </si>
  <si>
    <t>ระบบผลิตน้ำบริสุทธิ์แบบจ่ายตรงขนาดไม่น้อยกว่า 30 หัวจ่าย</t>
  </si>
  <si>
    <t>Direct-dispensing pure water production system with a size of not less than 30 nozzles</t>
  </si>
  <si>
    <t>CKD-8</t>
  </si>
  <si>
    <t>ระบบผลิตน้ำบริสุทธิ์แบบพักน้ำขนาดไม่น้อยกว่า 5 หัวจ่าย</t>
  </si>
  <si>
    <t>Pure water production system with water holding size of not less than 5 nozzles</t>
  </si>
  <si>
    <t>CKD-9</t>
  </si>
  <si>
    <t>ระบบผลิตน้ำบริสุทธิ์แบบพักน้ำขนาดไม่น้อยกว่า 10 หัวจ่าย</t>
  </si>
  <si>
    <t>Pure water production system with water holding size of not less than 10 nozzles</t>
  </si>
  <si>
    <t>CKD-10</t>
  </si>
  <si>
    <t>ระบบผลิตน้ำบริสุทธิ์แบบพักน้ำขนาดไม่น้อยกว่า 15 หัวจ่าย</t>
  </si>
  <si>
    <t>Pure water production system with water holding size of not less than 15 nozzles</t>
  </si>
  <si>
    <t>CKD-11</t>
  </si>
  <si>
    <t>ระบบผลิตน้ำบริสุทธิ์แบบพักน้ำขนาดไม่น้อยกว่า 20 หัวจ่าย</t>
  </si>
  <si>
    <t>Pure water production system with water holding size of not less than 20 nozzles</t>
  </si>
  <si>
    <t>CKD-12</t>
  </si>
  <si>
    <t>ระบบผลิตน้ำบริสุทธิ์แบบพักน้ำขนาดไม่น้อยกว่า 30 หัวจ่าย</t>
  </si>
  <si>
    <t>Pure water production system with water holding size of not less than 30 nozzles</t>
  </si>
  <si>
    <t>CKD-13</t>
  </si>
  <si>
    <t>เครื่องฟอกไตแบบมาตรฐาน</t>
  </si>
  <si>
    <t>Standard Dialysis Machine</t>
  </si>
  <si>
    <t>CKD-14</t>
  </si>
  <si>
    <t>เครื่องฟอกไตแบบพิเศษ</t>
  </si>
  <si>
    <t>Special dialysis machine</t>
  </si>
  <si>
    <t>CKD-15</t>
  </si>
  <si>
    <t>เครื่องฟอกไตแบบต่อเนื่อง</t>
  </si>
  <si>
    <t>continuous renal replacement therapy(CRRT)</t>
  </si>
  <si>
    <t>CKD-16</t>
  </si>
  <si>
    <t>เครื่องล้างตัวกรองเลือด</t>
  </si>
  <si>
    <t>blood filter cleaner</t>
  </si>
  <si>
    <t>DE-1</t>
  </si>
  <si>
    <t>เครื่องปั่นและผสมสารอุดฟัน</t>
  </si>
  <si>
    <t>Amalgamator</t>
  </si>
  <si>
    <t>DE-2</t>
  </si>
  <si>
    <t>เครื่องไมโครมอเตอร์ สำหรับกรอฟันปลอม</t>
  </si>
  <si>
    <t>Dental Lab Electric Micro Motor</t>
  </si>
  <si>
    <t>DE-3</t>
  </si>
  <si>
    <t>ชุดบันทึกความสัมพันธ์ของขากรรไกร</t>
  </si>
  <si>
    <t xml:space="preserve">Face Bow Transfer </t>
  </si>
  <si>
    <t>DE-4</t>
  </si>
  <si>
    <t>เครื่องสั่นผสมปูน</t>
  </si>
  <si>
    <t>Vibrator for Cement Mixing</t>
  </si>
  <si>
    <t>DE-5</t>
  </si>
  <si>
    <t>เครื่องขูดหินปูนแบบ Electro Magnetic</t>
  </si>
  <si>
    <t>Electro Magnetic Ultrasonic Scaler</t>
  </si>
  <si>
    <t>DE-6</t>
  </si>
  <si>
    <t>เครื่องฉายแสงสำหรับบ่มวัสดุทางทันตกรรม</t>
  </si>
  <si>
    <t>Light Cured Unit</t>
  </si>
  <si>
    <t>DE-7</t>
  </si>
  <si>
    <t>เครื่องเป่าทราย</t>
  </si>
  <si>
    <t>Sand Blast Machine</t>
  </si>
  <si>
    <t>DE-8</t>
  </si>
  <si>
    <t>ชุดเครื่องสำรวจทางทันตกรรม</t>
  </si>
  <si>
    <t>Dental Surveyor</t>
  </si>
  <si>
    <t>DE-9</t>
  </si>
  <si>
    <t>เครื่องสั่นความถี่เหนือเสียง ขนาดไม่น้อยกว่า 1.5 ลิตร</t>
  </si>
  <si>
    <t>Ultra-Sonic Cleanser</t>
  </si>
  <si>
    <t>DE-10</t>
  </si>
  <si>
    <t>เครื่องตัดแต่งปูนปลาสเตอร์</t>
  </si>
  <si>
    <t>Plaster Model Trimmer</t>
  </si>
  <si>
    <t>DE-11</t>
  </si>
  <si>
    <t>เครื่องวัดความมีชีวิตของฟัน</t>
  </si>
  <si>
    <t>Electric Pulp Tester</t>
  </si>
  <si>
    <t>DE-12</t>
  </si>
  <si>
    <t>เครื่องวัดความยาวรากฟัน</t>
  </si>
  <si>
    <t>Electronic  Apex Locator</t>
  </si>
  <si>
    <t>DE-13</t>
  </si>
  <si>
    <t>เครื่องจี้ตัดไฟฟ้าทางทันตกรรม</t>
  </si>
  <si>
    <t>Dental Electrosurgery</t>
  </si>
  <si>
    <t>DE-14</t>
  </si>
  <si>
    <t>เครื่องจำลองขากรรไกรชนิดปรับค่าได้บางส่วน</t>
  </si>
  <si>
    <t>Semi-Adjaustable Articulator</t>
  </si>
  <si>
    <t>DE-15</t>
  </si>
  <si>
    <t>เครื่องขูดหินปูนแบบ Piezo-Electric</t>
  </si>
  <si>
    <t>Piezo-Electric Ultrasonic Scaler</t>
  </si>
  <si>
    <t>DE-16</t>
  </si>
  <si>
    <t>เครื่องมอเตอร์สำหรับงานรักษาคลองรากฟัน พร้อมอุปกรณ์</t>
  </si>
  <si>
    <t xml:space="preserve">Endodontic  Rotary Motor </t>
  </si>
  <si>
    <t>DE-17</t>
  </si>
  <si>
    <t>เครื่องกำเนิดความร้อน สำหรับงานรักษาคลองรากฟัน</t>
  </si>
  <si>
    <t>Endodontic Machine Assisted Obturation &amp; Warm Gutta Percha Technics</t>
  </si>
  <si>
    <t>DE-18</t>
  </si>
  <si>
    <t>ชุดทันตกรรมเคลื่อนที่ พร้อมเก้าอี้สนามและโคมไฟ</t>
  </si>
  <si>
    <t>Mobile Dental Unit</t>
  </si>
  <si>
    <t>DE-19</t>
  </si>
  <si>
    <t>เครื่องมอเตอร์ซัคชั่นแรงดูดกำลังสูง</t>
  </si>
  <si>
    <t>High Volume Evacuator</t>
  </si>
  <si>
    <t>DE-20</t>
  </si>
  <si>
    <t>เครื่องผสมปูนระบบสูญญากาศ</t>
  </si>
  <si>
    <t>Vacuum Cement Mixer</t>
  </si>
  <si>
    <t>DE-21</t>
  </si>
  <si>
    <t>ชุดกล้องถ่ายภาพและตรวจภายในช่องปาก</t>
  </si>
  <si>
    <t>Intra Oral Camera</t>
  </si>
  <si>
    <t>DE-22</t>
  </si>
  <si>
    <t>เครื่องผสมวัสดุพิมพ์ปากทางทันตกรรม</t>
  </si>
  <si>
    <t>Impression Material Mixer</t>
  </si>
  <si>
    <t>DE-23</t>
  </si>
  <si>
    <t>เครื่องพ่นสเปรย์น้ำมันทำความสะอาดด้ามกรอฟันแบบไม่น้อยกว่า 3 ช่อง</t>
  </si>
  <si>
    <t>Dental Handpiece Lubrication and Cleaner Machines</t>
  </si>
  <si>
    <t>DE-24</t>
  </si>
  <si>
    <t>เครื่องมอเตอร์สำหรับงานทันตกรรมรากเทียม พร้อมอุปกรณ์</t>
  </si>
  <si>
    <t>Implant Surgical Motor System</t>
  </si>
  <si>
    <t>DE-25</t>
  </si>
  <si>
    <t>เครื่องกรอฟันแบบเคลื่อนที่ได้</t>
  </si>
  <si>
    <t>Mobile Airotor</t>
  </si>
  <si>
    <t>DE-26</t>
  </si>
  <si>
    <t>เครื่องนึ่งฆ่าเชื้อโรค สำหรับด้ามกรอฟัน</t>
  </si>
  <si>
    <t>dental Handpiece Sterilizer</t>
  </si>
  <si>
    <t>DE-27</t>
  </si>
  <si>
    <t>เครื่องมือตรวจวัดการโยกของรากฟันเทียมในกระดูก</t>
  </si>
  <si>
    <t>Periotest</t>
  </si>
  <si>
    <t>DE-28</t>
  </si>
  <si>
    <t>ชุดทันตกรรมเคลื่อนที่ พร้อมเครื่องกรอฟันแบบเคลื่อนที่ได้</t>
  </si>
  <si>
    <t>Mobile Dental Unit and Mobile Airotor</t>
  </si>
  <si>
    <t>DE-29</t>
  </si>
  <si>
    <t>ชุดเครื่องมือทันตกรรม</t>
  </si>
  <si>
    <t>dental kit</t>
  </si>
  <si>
    <t>DE-30</t>
  </si>
  <si>
    <t>ยูนิตทำฟันสำหรับงานพื้นฐาน</t>
  </si>
  <si>
    <t>Basic treatment cente</t>
  </si>
  <si>
    <t>ยูนิต</t>
  </si>
  <si>
    <t>DE-32</t>
  </si>
  <si>
    <t>เครื่องแปลงสัญญาณภาพเอกซเรย์เป็นดิจิตอลในช่องปาก</t>
  </si>
  <si>
    <t xml:space="preserve">Dental Oral X-RAY Film Digital Image Converter and Reader </t>
  </si>
  <si>
    <t>DE-34</t>
  </si>
  <si>
    <t>เครื่องศัลยกรรมกระดูกด้วยระบบอัลตราโซนิก และกรอกระดูกในงานทันตกรรมรากฟันเทียม</t>
  </si>
  <si>
    <t xml:space="preserve">Ultrasonic System and Motor System for Bone Surgery </t>
  </si>
  <si>
    <t>DE-35</t>
  </si>
  <si>
    <t>ยูนิตทำฟัน</t>
  </si>
  <si>
    <t>DE-36</t>
  </si>
  <si>
    <t>เครื่องสแกนในช่องปาก 3 มิติ</t>
  </si>
  <si>
    <t>3 Dimension Intraoral Scanner</t>
  </si>
  <si>
    <t>DE-37</t>
  </si>
  <si>
    <t>เครื่องเอกซเรย์คอมพิวเตอร์สำหรับงานทันตกรรม (Dental CT)</t>
  </si>
  <si>
    <t>Dental CT</t>
  </si>
  <si>
    <t>ฉบับ ม.ค. 63</t>
  </si>
  <si>
    <t>มกราคม 2563 - มกราคม 2569 (6 ปี)</t>
  </si>
  <si>
    <t>DE-38</t>
  </si>
  <si>
    <t>เครื่องขูดหินปูนและเครื่องพ่นขจัดคราบไบโอฟิล์มบริเวณเหนือเหงือกและใต้เหงือก</t>
  </si>
  <si>
    <t>Air flow prophylaxis device</t>
  </si>
  <si>
    <t>DE-39</t>
  </si>
  <si>
    <t>เครื่องเลเซอร์งานทันตกรรม สำหรับการใช้งานกับเนื้อเยื่อ กระดูก และฟัน</t>
  </si>
  <si>
    <t>All tissues Er. Cr. YSGG Laser</t>
  </si>
  <si>
    <t>DE-40</t>
  </si>
  <si>
    <t>เครื่องพิมพ์ 3 สามมิติ สำหรับงานทันตกรรม</t>
  </si>
  <si>
    <t>Dental 3D Printing Machine</t>
  </si>
  <si>
    <t>DE-41</t>
  </si>
  <si>
    <t>ยูนิตทำฟันสำหรับผู้สูงอายุและผู้ป่วยที่มีความต้องการพิเศษ</t>
  </si>
  <si>
    <t>Geriatric and Special Need Dental Unit</t>
  </si>
  <si>
    <t>DE-42</t>
  </si>
  <si>
    <t>เครื่องเอกซเรย์ฟันในช่องปากแบบพกพา</t>
  </si>
  <si>
    <t>Dental Portable X-ray</t>
  </si>
  <si>
    <t>DE-43</t>
  </si>
  <si>
    <t>อุปกรณ์ให้ความสว่างสำหรับแว่นกำลังขยายสูง</t>
  </si>
  <si>
    <t>Head Light for loupes</t>
  </si>
  <si>
    <t>DE-44</t>
  </si>
  <si>
    <t>เครื่องขึ้นรูปสูญญากาศทางทันตกรรม</t>
  </si>
  <si>
    <t>Dental Vacuum Forming Machine</t>
  </si>
  <si>
    <t>DE-45</t>
  </si>
  <si>
    <t>เครื่องเอกซเรย์ฟัน</t>
  </si>
  <si>
    <t>Intraoral X-ray Unit</t>
  </si>
  <si>
    <t>DE-46</t>
  </si>
  <si>
    <t>เครื่องเอกซเรย์ฟันทั้งปาก พร้อมกะโหลกศีรษะแบบ 2 มิติ</t>
  </si>
  <si>
    <t>2 Dimension Panoramic and Cephalometric Dental Radiography</t>
  </si>
  <si>
    <t>DE-47</t>
  </si>
  <si>
    <t>เครื่องเอกซเรย์ฟันทั้งปาก พร้อมกะโหลกศีรษะแบบ 3 มิติ</t>
  </si>
  <si>
    <t>3 Dimension Panoramic and Cephalometric Dental Radiography</t>
  </si>
  <si>
    <t>DE-48</t>
  </si>
  <si>
    <t>เก้าอี้ทำฟัน (Dental Chair) รุ่น Platinum II Premium</t>
  </si>
  <si>
    <t>ตุลาคม 2568 - ตุลาคม 2576 (8 ปี)</t>
  </si>
  <si>
    <t>DE-49</t>
  </si>
  <si>
    <t>เก้าอี้ทำฟัน (Dental Chair) รุ่น Eco II Premium</t>
  </si>
  <si>
    <t>NB-1</t>
  </si>
  <si>
    <t>ตู้อบเด็ก</t>
  </si>
  <si>
    <t>Incubator</t>
  </si>
  <si>
    <t>NB-2</t>
  </si>
  <si>
    <t>เครื่องส่องรักษาทารกตัวเหลืองแบบห่อตัว</t>
  </si>
  <si>
    <t>Wrapped jaundice baby monitor</t>
  </si>
  <si>
    <t>NB-4</t>
  </si>
  <si>
    <t>เครื่องควบคุมอุณหภูมิทารกแรกเกิด</t>
  </si>
  <si>
    <t>Infant Radiant Warmer</t>
  </si>
  <si>
    <t>NB-5</t>
  </si>
  <si>
    <t>เครื่องควบคุมอุณหภูมิศรีษะทารกแรกเกิด</t>
  </si>
  <si>
    <t>Head Cooling System</t>
  </si>
  <si>
    <t>NB-6</t>
  </si>
  <si>
    <t>เครื่องควบคุมอุณหภูมิร่างกายสำหรับทารก</t>
  </si>
  <si>
    <t>Hypo-Hyperthermia System Unit (Cooling System)</t>
  </si>
  <si>
    <t>NB-7</t>
  </si>
  <si>
    <t>เครื่องช่วยกู้ชีวิตทารกแบบแรงดันบวก</t>
  </si>
  <si>
    <t>T-Piece Resuscitator</t>
  </si>
  <si>
    <t>NB-8</t>
  </si>
  <si>
    <t>เครื่องวัดระดับบิลิรูบินในทารก</t>
  </si>
  <si>
    <t>Microbilirubinometer</t>
  </si>
  <si>
    <t>NB-9</t>
  </si>
  <si>
    <t>เครื่องส่องรักษาทารกตัวเหลืองแบบด้านเดียว</t>
  </si>
  <si>
    <t>Phototherapy Unit</t>
  </si>
  <si>
    <t>NB-10</t>
  </si>
  <si>
    <t>เครื่องส่องรักษาทารกตัวเหลืองแบบสองด้าน</t>
  </si>
  <si>
    <t>Double Phototherapy Unit</t>
  </si>
  <si>
    <t>NB-11</t>
  </si>
  <si>
    <t>เครื่องให้ออกซิเจนด้วยอัตราการไหลสูงสำหรับเด็ก</t>
  </si>
  <si>
    <t>High Flow Oxygen Delivery System</t>
  </si>
  <si>
    <t>NB-12</t>
  </si>
  <si>
    <t>ชุดอุปกรณ์ช่วยชีวิตทารกแรกคลอด</t>
  </si>
  <si>
    <t>Newborn Resuscilator Set</t>
  </si>
  <si>
    <t>NB-13</t>
  </si>
  <si>
    <t>ตู้อบเด็กสำหรับลำเลียงทารกแรกคลอด</t>
  </si>
  <si>
    <t>Transport Incubator</t>
  </si>
  <si>
    <t>NB-15</t>
  </si>
  <si>
    <t>ตู้อบเด็กชนิดควบคุมอุณหภูมิพร้อมปรับเปลี่ยนให้เป็นเครื่องให้ความอบอุ่นทารกแรกเกิดพร้อมชุดชั่งน้ำหนัก</t>
  </si>
  <si>
    <t>hybrid icubator /incu warmer</t>
  </si>
  <si>
    <t>NB-16</t>
  </si>
  <si>
    <t>เครื่องวัดออกซิเจนในเลือดอัตโนมัติชนิดพกพา สำหรับเด็ก</t>
  </si>
  <si>
    <t>Portable Pediatric Pulse Oximeter</t>
  </si>
  <si>
    <t>NB-17</t>
  </si>
  <si>
    <t>เครื่องวัดบิลิรูบินทางผิวหนัง</t>
  </si>
  <si>
    <t>Transcutaneous bilirubin</t>
  </si>
  <si>
    <t>NB-18</t>
  </si>
  <si>
    <t>ตู้ลำเลียงเด็กเล็กผ่านมาตรฐาน 10 G</t>
  </si>
  <si>
    <t>Incubation transport pod with 10 G Certification</t>
  </si>
  <si>
    <t>OE-1</t>
  </si>
  <si>
    <t>สว่านเจาะกะโหลกศีรษะด้วยมือ</t>
  </si>
  <si>
    <t xml:space="preserve"> Hudson Brace Burr and Perforators</t>
  </si>
  <si>
    <t>OE-2</t>
  </si>
  <si>
    <t>แว่นขยายกำลังสูงสำหรับการผ่าตัด</t>
  </si>
  <si>
    <t>Operating Loope</t>
  </si>
  <si>
    <t>OE-3</t>
  </si>
  <si>
    <t>เครื่องพร้อมอุปกรณ์ป้องกันหลอดเลือดส่วนลึกอุดตันด้วยแรงดันอากาศอัตโนมัติ</t>
  </si>
  <si>
    <t>Automatic Pneumatic Pressure Device</t>
  </si>
  <si>
    <t>OE-4</t>
  </si>
  <si>
    <t>ชุดเครื่องมือทำหมัน</t>
  </si>
  <si>
    <t>Sterilization Tool Kit</t>
  </si>
  <si>
    <t>OE-5</t>
  </si>
  <si>
    <t>เครื่องทำหัตถการปลูกถ่ายผิวหนังด้วยเทคนิคตัดขยายแบบตาราง</t>
  </si>
  <si>
    <t>MEEK Micrograft</t>
  </si>
  <si>
    <t>OE-6</t>
  </si>
  <si>
    <t>เครื่องรีดขยายผิวหนัง</t>
  </si>
  <si>
    <t>Mesh Graft</t>
  </si>
  <si>
    <t>OE-7</t>
  </si>
  <si>
    <t>ชุดเครื่องมือผ่าตัดขนาดเล็ก</t>
  </si>
  <si>
    <t>Minor Set</t>
  </si>
  <si>
    <t>OE-8</t>
  </si>
  <si>
    <t>เครื่องรัดห้ามเลือด</t>
  </si>
  <si>
    <t>Touniquet System</t>
  </si>
  <si>
    <t>OE-9</t>
  </si>
  <si>
    <t>ชุดเครื่องมือเจาะกะโหลกศีรษะ</t>
  </si>
  <si>
    <t xml:space="preserve"> Burr Hole Set</t>
  </si>
  <si>
    <t>OE-10</t>
  </si>
  <si>
    <t>ชุดไฟส่องผ่าตัดแบบครอบศีรษะ</t>
  </si>
  <si>
    <t>Head Light Instrument Set</t>
  </si>
  <si>
    <t>OE-11</t>
  </si>
  <si>
    <t>ชุดเครื่องมือถ่างขยายช่องท้อง พร้อมอุปกรณ์ถ่างดึงไม่น้อยกว่า 6 ชิ้น</t>
  </si>
  <si>
    <t>Abdominal Self Retractor</t>
  </si>
  <si>
    <t>OE-12</t>
  </si>
  <si>
    <t>ชุดจับยึดกะโหลกศีรษะระหว่างผ่าตัด (รังสีผ่านไม่ได้)</t>
  </si>
  <si>
    <t>Skull  Clamp Instrument Set</t>
  </si>
  <si>
    <t>OE-13</t>
  </si>
  <si>
    <t>ชุดเครื่องมือผ่าตัดใหญ่</t>
  </si>
  <si>
    <t>Major Surgical Instruments</t>
  </si>
  <si>
    <t>OE-14</t>
  </si>
  <si>
    <t>ชุดเครื่องมือผ่าตัดสมองพื้นฐาน</t>
  </si>
  <si>
    <t xml:space="preserve"> Basic Cranial Set</t>
  </si>
  <si>
    <t>OE-15</t>
  </si>
  <si>
    <t>ชุดเครื่องมือผ่าตัดสมองผ่านทางช่องจมูก</t>
  </si>
  <si>
    <t>Transsphenoidal Set</t>
  </si>
  <si>
    <t>OE-16</t>
  </si>
  <si>
    <t>ชุดเครื่องมือถ่างเนื้อสมองชนิดยึดด้วยตัวเอง</t>
  </si>
  <si>
    <t>Cranial Self-Retaining Retractors Set</t>
  </si>
  <si>
    <t>OE-17</t>
  </si>
  <si>
    <t>เครื่องมือจับตัวหนีบเส้นเลือดในสมอง พร้อมเครื่องวัดความเร็วของเลือดในหลอดเลือดสมองขณะผ่าตัด</t>
  </si>
  <si>
    <t>Aneurysmal Clip Applier Set and Vascular Dopplers</t>
  </si>
  <si>
    <t>OE-18</t>
  </si>
  <si>
    <t>ชุดจับยึดกะโหลกศีรษะระหว่างผ่าตัด (รังสีผ่านได้)</t>
  </si>
  <si>
    <t>Skull Clamp Instrument Set  (Radiolucent)</t>
  </si>
  <si>
    <t>OE-19</t>
  </si>
  <si>
    <t>ชุดเครื่องมือกรอและเปิดกะโหลกศีรษะด้วยความเร็วสูง</t>
  </si>
  <si>
    <t xml:space="preserve"> Neurosurgical High Speed Drill Set </t>
  </si>
  <si>
    <t>OE-20</t>
  </si>
  <si>
    <t>เครื่องตรวจวัดสัญญาณสื่อประสาทขณะทำการผ่าตัด</t>
  </si>
  <si>
    <t>Neurotransmitter sensors during surgery</t>
  </si>
  <si>
    <t>OE-21</t>
  </si>
  <si>
    <t>เครื่องสลายเนื้องอกด้วยคลื่นเสียงความถี่สูง</t>
  </si>
  <si>
    <t>Ultrasonic Surgical Aspirator</t>
  </si>
  <si>
    <t>OE-22</t>
  </si>
  <si>
    <t>ชุดแขนหุ่นยนต์ถือกล้องขณะผ่าตัดผ่านกล้อง</t>
  </si>
  <si>
    <t>Robotic Endoscope Holder</t>
  </si>
  <si>
    <t>OE-23</t>
  </si>
  <si>
    <t>เครื่องช่วยผ่าตัดสมองด้วยระบบคอมพิวเตอร์นำวิถี</t>
  </si>
  <si>
    <t>Computer-guided Brain Surgery Machine</t>
  </si>
  <si>
    <t>OE-24</t>
  </si>
  <si>
    <t>เครื่องติดตามระบบพลศาสตร์การไหลเวียนในร่างกายผู้ป่วยอย่างต่อเนื่องพร้อมภาควัดปริมาตรออกซิเจนในสมอง</t>
  </si>
  <si>
    <t>Continuous Hemodynamic Monitoring System with Cerebral Oxygenation Measurement</t>
  </si>
  <si>
    <t>OE-25</t>
  </si>
  <si>
    <t>เครื่องติดตามและพยากรณ์ระบบพลศาสตร์การไหลเวียนในร่างกายผู้ป่วยอย่างต่อเนื่อง พร้อมภาควัดปริมาณออกซิเจนในสมอง</t>
  </si>
  <si>
    <t>Advance Hemodynamic monitoring</t>
  </si>
  <si>
    <t>OE-26</t>
  </si>
  <si>
    <t>เครื่องสลายเนื้อเยื่อด้วยคลื่นความถี่สูงเพื่อการผ่าตัดตับ</t>
  </si>
  <si>
    <t>CUSA Aspirator</t>
  </si>
  <si>
    <t>OE-27</t>
  </si>
  <si>
    <t>ชุดเครื่องมือสว่านไฟฟ้าแบบใช้แบตเตอรี่สำหรับงานศัลยกรรมออร์โธปิดิกส์</t>
  </si>
  <si>
    <t>(Powertools dynamic drill and ream</t>
  </si>
  <si>
    <t>OE-28</t>
  </si>
  <si>
    <t>ชุดเครื่องสลายเนื้องอกด้วยคลื่นเสียงความถี่สูงพร้อมระบบดูด และอุปกรณ์ต่อพ่วง</t>
  </si>
  <si>
    <t>ULTRASONIC ASPIRATOR/SONASTAR</t>
  </si>
  <si>
    <t>OE-29</t>
  </si>
  <si>
    <t>เครื่องสร้างภาพ 3 มิติ สำหรับการผ่าตัดตับ</t>
  </si>
  <si>
    <t>3-D reconstruction in liver surgery</t>
  </si>
  <si>
    <t>OE-30</t>
  </si>
  <si>
    <t>โปรแกรมคำนวณปริมาตรเนื้อตับ</t>
  </si>
  <si>
    <t>Liver volumentery synapse vincent</t>
  </si>
  <si>
    <t>OE-31</t>
  </si>
  <si>
    <t xml:space="preserve">ตู้เก็บกล้อง Endoscopic แบบถาด  </t>
  </si>
  <si>
    <t>Endoscope Storage Cabinets</t>
  </si>
  <si>
    <t>OE-32</t>
  </si>
  <si>
    <t>ชุดเครื่องมือผ่าตัดหลอดเลือดแดงส่วนปลาย Set vascular</t>
  </si>
  <si>
    <t>Set vascular</t>
  </si>
  <si>
    <t>OE-33</t>
  </si>
  <si>
    <t>เครื่องช่วยผ่าตัดสมองและกระดูกสันหลังด้วยระบบคอมพิวเตอร์นำวิถี</t>
  </si>
  <si>
    <t>Computer-Guided Brain and Spine Surgery Machine</t>
  </si>
  <si>
    <t>OE-34</t>
  </si>
  <si>
    <t>ชุดแขนหุ่นยนต์ช่วยนำวิถีสำหรับช่วยการผ่าตัดศัลยกรรมกระดูกสันหลัง</t>
  </si>
  <si>
    <t>Robotic Arm-Assisted Navigation for Spine Surgery</t>
  </si>
  <si>
    <t>OE-35</t>
  </si>
  <si>
    <t>ชุดแขนหุ่นยนต์ช่วยนำวิถีสำหรับช่วยการผ่าตัดศัลยกรรมสมองและกระดูกสันหลัง</t>
  </si>
  <si>
    <t>Robotic Arm-Assisted Navigation for Brain and Spine Surgery</t>
  </si>
  <si>
    <t>OE-36</t>
  </si>
  <si>
    <t>หุ่นยนต์ผ่าตัดระบบโมดูลาร์ แขนกลอิสระพร้อมระบบไฟฟ้าสำรอง มีเทคโนโลยีอัลตราโซนิกสำหรับการผ่าตัดและระบบ ICG</t>
  </si>
  <si>
    <t>Robotic Surgery System Modular Bedside Units Type</t>
  </si>
  <si>
    <t>PHR-1</t>
  </si>
  <si>
    <t>เครื่องนับเม็ดยาอัตโนมัติ</t>
  </si>
  <si>
    <t>Prepack Machine</t>
  </si>
  <si>
    <t>PHR-2</t>
  </si>
  <si>
    <t>ตู้ผสมยาเคมีบำบัดแบบขั้นสูง</t>
  </si>
  <si>
    <t>Isolator (Biosafety Cabinet Class III)</t>
  </si>
  <si>
    <t>PHR-3</t>
  </si>
  <si>
    <t>ตู้ผสมยาเคมีบำบัดแบบพื้นฐาน</t>
  </si>
  <si>
    <t>Biosafety Cabinet Class II type B1</t>
  </si>
  <si>
    <t>PHR-4</t>
  </si>
  <si>
    <t>ตู้ผสมยาเตรียมปราศจากเชื้อเฉพาะราย 4 ฟุต</t>
  </si>
  <si>
    <t>Biosafety Cabinet Class II type B3</t>
  </si>
  <si>
    <t>PHR-5</t>
  </si>
  <si>
    <t>ตู้ผสมยาเตรียมปราศจากเชื้อเฉพาะราย 6 ฟุต</t>
  </si>
  <si>
    <t>PHR-6</t>
  </si>
  <si>
    <t>ตู้ผสมสารอาหารทางหลอดเลือดดำ ขนาด 4 ฟุต</t>
  </si>
  <si>
    <t>Laminar Air Flow Hood (Horizontal)</t>
  </si>
  <si>
    <t>PHR-7</t>
  </si>
  <si>
    <t>ตู้ผสมสารอาหารทางหลอดเลือดดำ ขนาด 6 ฟุต</t>
  </si>
  <si>
    <t>PHR-9</t>
  </si>
  <si>
    <t>ระบบจัดและจ่ายยาอัตโนมัติสำหรับผู้ป่วยในขนาดไม่น้อยกว่า 300 รายการยา</t>
  </si>
  <si>
    <t>Automatic Tablet Packing Machine 300 Cassette</t>
  </si>
  <si>
    <t>PHR-10</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</si>
  <si>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</si>
  <si>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</si>
  <si>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PHR-11</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</si>
  <si>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</si>
  <si>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</si>
  <si>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PHR-12</t>
  </si>
  <si>
    <t>หุ่นยนต์จัดส่งยาและเวชภัณฑ์แบบอัตโนมัติ</t>
  </si>
  <si>
    <t>Automatic Dispensing Robot for Medication Delivery</t>
  </si>
  <si>
    <t>PHR-13</t>
  </si>
  <si>
    <t>รถเข็นจ่ายยาอัจฉริยะ</t>
  </si>
  <si>
    <t>Smart mobile Medication cart</t>
  </si>
  <si>
    <t>PHR-14</t>
  </si>
  <si>
    <t>เครื่องจ่ายยาอัตโนมัติบนหอผู้ป่วย สำหรับผู้ป่วยใน ไม่น้อยกว่า 45 รายการ</t>
  </si>
  <si>
    <t>Flooe stock drug</t>
  </si>
  <si>
    <t>PHR-15</t>
  </si>
  <si>
    <t xml:space="preserve">ระบบจัดและจ่ายยาอัตโนมัติสำหรับผู้ป่วยในขนาดไม่น้อยกว่า 250 รายการยา </t>
  </si>
  <si>
    <t>Automatic tablet packing machine 250 casstte</t>
  </si>
  <si>
    <t>PHR-16</t>
  </si>
  <si>
    <t>ระบบจัดและจ่ายยาอัตโนมัติสำหรับผู้ป่วยในขนาดไม่น้อยกว่า 250 รายการยา พร้อมระบบตรวจสอบความถูกต้องของยา</t>
  </si>
  <si>
    <t>Automatic tablet packing machine 250 casstte with medication detection</t>
  </si>
  <si>
    <t>RT-1</t>
  </si>
  <si>
    <t>เครื่องจำลองและวางแผนการรักษา</t>
  </si>
  <si>
    <t xml:space="preserve">CT Simulator </t>
  </si>
  <si>
    <t>RT-2</t>
  </si>
  <si>
    <t>เครื่องฉายรังสีชนิดเครื่องเร่งอนุภาคชนิดสามมิติ</t>
  </si>
  <si>
    <t>Linear Accelerator with 3D Radiotherapy</t>
  </si>
  <si>
    <t>RT-3</t>
  </si>
  <si>
    <t>เครื่องฉายรังสีชนิดเครื่องเร่งอนุภาคพลังงานสูงแบบสี่มิติ</t>
  </si>
  <si>
    <t>Linear Accelerator with 4D Radiotherapy</t>
  </si>
  <si>
    <t>RT-4</t>
  </si>
  <si>
    <t>ชุดเพิ่มประสิทธิภาพเพื่อทำรังสีศัลยกรรมสำหรับเครื่องฉายรังสี</t>
  </si>
  <si>
    <t>Stereotactic Radiosurgery Option</t>
  </si>
  <si>
    <t>RT-5</t>
  </si>
  <si>
    <t>เครื่องตรวจสอบตำแหน่งผู้ป่วยระหว่างการฉายแสง</t>
  </si>
  <si>
    <t xml:space="preserve">Surface Tracking System </t>
  </si>
  <si>
    <t>RT-6</t>
  </si>
  <si>
    <t>เครื่องสอดใส่แร่พลังงานสูงชนิดอิริเดียม 192</t>
  </si>
  <si>
    <t xml:space="preserve">High Dose Rate Ir-192 Brachytherapy </t>
  </si>
  <si>
    <t>RT-7</t>
  </si>
  <si>
    <t>เครื่องตรวจสอบคุณภาพรังสีแบบสามมิติ</t>
  </si>
  <si>
    <t xml:space="preserve">3D Water Phantom </t>
  </si>
  <si>
    <t>RT-8</t>
  </si>
  <si>
    <t>เครื่องทวนสอบคุณภาพแผนการรักษา</t>
  </si>
  <si>
    <t xml:space="preserve">Patient and Machine QA  </t>
  </si>
  <si>
    <t>RT-9</t>
  </si>
  <si>
    <t>เครื่องเร่งอนุภาคชนิดเนกาตีฟไอออนสำหรับผลิตสารกำเนิดโพสิตรอน</t>
  </si>
  <si>
    <t>Negative Ion Cyclotron</t>
  </si>
  <si>
    <t>RT-10</t>
  </si>
  <si>
    <t>เครื่องฉายรังสีในเลือดด้วยแหล่งกำเนิดรังสีเอ็กซ์ พร้อมอุปกรณ์</t>
  </si>
  <si>
    <t>Irradiation of Blood</t>
  </si>
  <si>
    <t>RT-11</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</si>
  <si>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</si>
  <si>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</si>
  <si>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RT-12</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</si>
  <si>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</si>
  <si>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</si>
  <si>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RT-13</t>
  </si>
  <si>
    <t>เครื่องเอกซเรย์คอมพิวเตอร์จำลองการฉายรังสีแบบสี่มิติ</t>
  </si>
  <si>
    <t>4D Computed Tomography Simulator</t>
  </si>
  <si>
    <t>RT-14</t>
  </si>
  <si>
    <t>ชุดอุปกรณ์ตรวจจับการหายใจของผู้ป่วยขณะฉายรังสี</t>
  </si>
  <si>
    <t>Respiratory Motion Management</t>
  </si>
  <si>
    <t>RT-15</t>
  </si>
  <si>
    <t>ชุดอุปกรณ์ตรวจจับการหายใจสำหรับสร้างสัญญาณการหายใจของผู้ป่วย</t>
  </si>
  <si>
    <t>Respiratory Gating for Scaner</t>
  </si>
  <si>
    <t>RT-16</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</si>
  <si>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</si>
  <si>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</si>
  <si>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RT-17</t>
  </si>
  <si>
    <t>เครื่องตรวจสอบคุณภาพลำรังสีประจำวัน</t>
  </si>
  <si>
    <t>Daily QA Device</t>
  </si>
  <si>
    <t>RT-18</t>
  </si>
  <si>
    <t>ชุดประกันคุณภาพเครื่องฉายรังสี</t>
  </si>
  <si>
    <t>Machine QA</t>
  </si>
  <si>
    <t>RT-19</t>
  </si>
  <si>
    <t>ระบบติดตามตำแหน่งผู้ป่วยด้วยภาพเอกซเรย์</t>
  </si>
  <si>
    <t>Patient tracking X-rays Imaging System</t>
  </si>
  <si>
    <t>RT-20</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</si>
  <si>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</si>
  <si>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</si>
  <si>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RT-21</t>
  </si>
  <si>
    <t>เครื่องฉายรังสีเอกซเรย์ชนิดตื้น</t>
  </si>
  <si>
    <t>Superficial X-Ray Therapy Machine</t>
  </si>
  <si>
    <t>RT-22</t>
  </si>
  <si>
    <t>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t>
  </si>
  <si>
    <t>High Dose Rate Brach Therapy Unit with Treatment Planning System and Patient Imaging and Dose Management</t>
  </si>
  <si>
    <t>RT-23</t>
  </si>
  <si>
    <t>เครื่องวางแผนใส่แร่ สำหรับรักษามะเร็งต่อมลูกหมาก</t>
  </si>
  <si>
    <t>Prostate Brachytherapy</t>
  </si>
  <si>
    <t>RT-24</t>
  </si>
  <si>
    <t>เครื่องวัดปริมาณรังสี</t>
  </si>
  <si>
    <t>Dose Calibrator</t>
  </si>
  <si>
    <t>RT-25</t>
  </si>
  <si>
    <t>เครื่องฉายรังสีพลังงานสูง (LINAC) สามารถใช้โปรแกรมการทำงานแบบปรับความเข้ม (IMRT &amp; VMAT)</t>
  </si>
  <si>
    <t>High-Energy Linear Accelerator (LINAC) with IMRT &amp; VMAT</t>
  </si>
  <si>
    <t>RT-26</t>
  </si>
  <si>
    <t>เครื่องฉายแสงเลือด</t>
  </si>
  <si>
    <t>Blood Irradiation Device</t>
  </si>
  <si>
    <t>RT-27</t>
  </si>
  <si>
    <t>เครื่องคำนวณปริมาตรเนื้อตับด้วยโปรแกรม 3D slicer</t>
  </si>
  <si>
    <t>CT liver volumetry</t>
  </si>
  <si>
    <t>RT-28</t>
  </si>
  <si>
    <t>ชุดอุปกรณ์ระบุตำแหน่งในการเจาะตัดชิ้นเนื้อเต้านม</t>
  </si>
  <si>
    <t>Digital Stereotactic Breast Biopsy System</t>
  </si>
  <si>
    <t>RT-29</t>
  </si>
  <si>
    <t>ชุดเครื่องมือเพิ่มประสิทธิภาพการฉายรังสีสำหรับการจัดการ การเคลื่อนไหวของก้อนมะเร็งแบบไร้อุปกรณ์ระบุตำแหน่ง</t>
  </si>
  <si>
    <t>Markerless Tracking System for Tumor Motion Management</t>
  </si>
  <si>
    <t>RT-30</t>
  </si>
  <si>
    <t>เครื่องเอกซเรย์ 360 องศา แบบสามมิติ โดยควบคุมการทำงานด้วยระบบหุ่นยนต์สำหรับประกอบการใส่แร่</t>
  </si>
  <si>
    <t>360 Degree 3D Robotic Control Mobile Imaging for Brachytherapy</t>
  </si>
  <si>
    <t>RT-31</t>
  </si>
  <si>
    <t>เครื่องฉายรังสีชนิดเครื่องเร่งอนุภาคพร้อมเครื่องเอกซเรย์คอมพิวเตอร์ชนิดสามมิติ</t>
  </si>
  <si>
    <t>Linear Accelerator and Computed Tomography with 3D Radiotherapy</t>
  </si>
  <si>
    <t>AE-1</t>
  </si>
  <si>
    <t>เครื่องดมยาสลบชนิดพื้นฐาน</t>
  </si>
  <si>
    <t xml:space="preserve">Anesthetic Machine and Ventilator with Gas Monitoring : Mandatory </t>
  </si>
  <si>
    <t>AE-2</t>
  </si>
  <si>
    <t>เครื่องดมยาสลบชนิดมาตรฐาน</t>
  </si>
  <si>
    <t xml:space="preserve">Anesthetic Machine and Ventilator with Gas Monitoring : Standard </t>
  </si>
  <si>
    <t>AE-3</t>
  </si>
  <si>
    <t>เครื่องดมยาสลบชนิดซับซ้อน</t>
  </si>
  <si>
    <t xml:space="preserve">Anesthetic Machine and Ventilator with Gas Monitoring : Advanced </t>
  </si>
  <si>
    <t>AE-4</t>
  </si>
  <si>
    <t>เครื่องตรวจวัดคาร์บอนไดออกไซด์และยาดมสลบในลมหายใจออก</t>
  </si>
  <si>
    <t>Anesthetic Gas Monitoring</t>
  </si>
  <si>
    <t>AE-5</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</si>
  <si>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</si>
  <si>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</si>
  <si>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AE-6</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</si>
  <si>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</si>
  <si>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</si>
  <si>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Orthopedic</t>
  </si>
  <si>
    <t>ORT-1</t>
  </si>
  <si>
    <t>เครื่องมือเจาะตัดกระดูกขนาดเล็ก</t>
  </si>
  <si>
    <t>small bone cutting tool</t>
  </si>
  <si>
    <t>ORT-2</t>
  </si>
  <si>
    <t>ชุดเครื่องมือเจาะตัดกระดูกความเร็วสูงด้วยไฟฟ้า</t>
  </si>
  <si>
    <t>Electric high speed bone cutting tool kit</t>
  </si>
  <si>
    <t>ORT-3</t>
  </si>
  <si>
    <t>ชุดเครื่องมือเปิดกระโหลกศีรษะ</t>
  </si>
  <si>
    <t>Skull opening tool kit</t>
  </si>
  <si>
    <t>ORT-4</t>
  </si>
  <si>
    <t>ชุดเครื่องมือผ่าตัดกระดูกใช้แบตเตอรี่</t>
  </si>
  <si>
    <t>Battery Operated Orthopedic Instrument Kit</t>
  </si>
  <si>
    <t>ORT-5</t>
  </si>
  <si>
    <t>ชุดเครื่องมือผ่าตัดกระดูกพื้นฐาน โดยใช้ระบบลม</t>
  </si>
  <si>
    <t>Basic Orthopedic Surgical Instruments Set</t>
  </si>
  <si>
    <t>ORT-6</t>
  </si>
  <si>
    <t>ชุดสว่านสำหรับผ่าตัดกระดูกขนาดเล็ก</t>
  </si>
  <si>
    <t>Drill set for small orthopedic surgery</t>
  </si>
  <si>
    <t>ORT-7</t>
  </si>
  <si>
    <t>ชุดสว่านเจาะและเลื่อยตัดกระดูกมาตรฐาน</t>
  </si>
  <si>
    <t>Standard drill and hacksaw set</t>
  </si>
  <si>
    <t>ORT-8</t>
  </si>
  <si>
    <t>สว่านใช้แรงดันลมขนาดมาตรฐาน</t>
  </si>
  <si>
    <t>The drill uses standard size air pressure</t>
  </si>
  <si>
    <t>ORT-9</t>
  </si>
  <si>
    <t>สว่านใช้แรงดันลมขนาดเล็ก</t>
  </si>
  <si>
    <t>The drill uses small air pressure</t>
  </si>
  <si>
    <t>ORT-10</t>
  </si>
  <si>
    <t>สว่านใช้แรงดันลมขนาดมาตรฐาน พร้อมเลื่อย</t>
  </si>
  <si>
    <t>Standard size pneumatic drill with saw</t>
  </si>
  <si>
    <t>ORT-11</t>
  </si>
  <si>
    <t>ชุดเครื่องมือผ่าตัดกระดูกสันหลังระดับคอ</t>
  </si>
  <si>
    <t xml:space="preserve"> Cervical Spinal Set</t>
  </si>
  <si>
    <t>ORT-12</t>
  </si>
  <si>
    <t>ชุดเครื่องมือผ่าตัดกระดูกสันหลัง</t>
  </si>
  <si>
    <t xml:space="preserve"> Laminectomy Set</t>
  </si>
  <si>
    <t>ORT-13</t>
  </si>
  <si>
    <t>ชุดเครื่องมือถ่างกระดูกสันหลังระดับคอด้านหน้าชนิดยึดด้วยตัวเอง</t>
  </si>
  <si>
    <t xml:space="preserve">Anterior Cervical Spinal self-Retaining Retractors </t>
  </si>
  <si>
    <t>ORT-14</t>
  </si>
  <si>
    <t>ชุดเครื่องมือถ่างกระดูกสันหลังด้านหลังชนิดยึดด้วยตัวเอง</t>
  </si>
  <si>
    <t>Posterior Spinal Self-Retaining Retractors</t>
  </si>
  <si>
    <t>ORT-15</t>
  </si>
  <si>
    <t>เครื่องติดตามสัญญาณประสาทขณะผ่าตัดเส้นประสาทไขสันหลัง</t>
  </si>
  <si>
    <t>Nerve monitor during spinal cord surgery</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</si>
  <si>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</si>
  <si>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</si>
  <si>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Smart Medical Supply Management System</t>
  </si>
  <si>
    <t>ORT-17</t>
  </si>
  <si>
    <t>เครื่องตัดเฝือกไฟฟ้า พร้อมเครื่องดูดฝุ่นเฝือกสูญญากาศ</t>
  </si>
  <si>
    <t>Electric Cast Cutter with Vacuum Suction System</t>
  </si>
  <si>
    <t>ORT-18</t>
  </si>
  <si>
    <t>ชุดเครื่องมือผ่าตัดกระดูกเชิงกรานและเบ้าสะโพก</t>
  </si>
  <si>
    <t>pelvic set</t>
  </si>
  <si>
    <t>ORT-19</t>
  </si>
  <si>
    <t>ชุดเครื่องมือผ่าตัดกระดูกใช้แบตเตอรี่ (สว่านเจาะกระดูก) พร้อมหัวต่อครบชุด</t>
  </si>
  <si>
    <t xml:space="preserve">Drill </t>
  </si>
  <si>
    <t>ORT-20</t>
  </si>
  <si>
    <t>ชุดมอเตอร์เจาะ ตัด และคว้านกระดูกด้วยระบบแบตเตอรี่ (ปืนชุดใหญ่)</t>
  </si>
  <si>
    <t>ORT-21</t>
  </si>
  <si>
    <t>ชุดเครื่องมือเจาะตัดกระดูกความเร็วสูงด้วยระบบลม</t>
  </si>
  <si>
    <t>High-Speed Pneumatic Bone Drilling and Cutting System</t>
  </si>
  <si>
    <t>ORT-22</t>
  </si>
  <si>
    <t>ชุดเครื่องมือผ่าตัดกระดูกสันหลังแบบส่องกล้อง</t>
  </si>
  <si>
    <t>full endoscopic spine surgery</t>
  </si>
  <si>
    <t>ORT-23</t>
  </si>
  <si>
    <t>ชุดเลื่อยตัดกระดูกสันอกแบบเดินหน้าถอยหลังระบบแบตเตอรี่</t>
  </si>
  <si>
    <t>Sternum Saw</t>
  </si>
  <si>
    <t>ORT-24</t>
  </si>
  <si>
    <t>ชุดกล้องส่องตรวจและผ่าตัดภายในข้อพร้อมจี้ใต้น้ำ และอุปกรณ์ช่วยผ่าตัด</t>
  </si>
  <si>
    <t>Arthroscope and Symergy Imaging</t>
  </si>
  <si>
    <t>ORT-25</t>
  </si>
  <si>
    <t xml:space="preserve">หุ่นยนต์ช่วยในการผ่าตัดเปลี่ยนข้อเข่า </t>
  </si>
  <si>
    <t>ORT-26</t>
  </si>
  <si>
    <t>เครื่องนำวิถีพร้อมซอฟต์แวร์ในการผ่าตัดด้านศัลยกรรมประสาท และศัลยกรรมกระดูกสันหลัง</t>
  </si>
  <si>
    <t>URO-1</t>
  </si>
  <si>
    <t>ชุดเครื่องมือส่องตรวจรักษาท่อปัสสาวะและกระเพาะปัสสาวะสำหรับเด็ก</t>
  </si>
  <si>
    <t>Pediatric Cysto-Ureteroscope</t>
  </si>
  <si>
    <t>URO-2</t>
  </si>
  <si>
    <t>ชุดเครื่องมือผ่าตัดต่อมลูกหมากด้วยกระแสไฟฟ้าชนิดสองขั้ว</t>
  </si>
  <si>
    <t xml:space="preserve">TURP Set with Electrocautery Type Bipolar </t>
  </si>
  <si>
    <t>URO-3</t>
  </si>
  <si>
    <t>เครื่องสลายนิ่วภายในระบบทางเดินปัสสาวะด้วยคลื่นความถี่สูง</t>
  </si>
  <si>
    <t>Ultrasonic Lithotripsy Unit</t>
  </si>
  <si>
    <t>URO-4</t>
  </si>
  <si>
    <t>เครื่องสลายนิ่วภายในระบบทางเดินปัสสาวะด้วยคลื่นความถี่สูงและการกระแทก พร้อมระบบดูดเศษนิ่ว</t>
  </si>
  <si>
    <t xml:space="preserve">Dual Action Lithotripsy </t>
  </si>
  <si>
    <t>URO-5</t>
  </si>
  <si>
    <t>ชุดเครื่องกระแทกนิ่วภายในระบบทางเดินปัสสาวะด้วยพลังงานลม</t>
  </si>
  <si>
    <t>Pneumatic Lithotripsy Set</t>
  </si>
  <si>
    <t>URO-6</t>
  </si>
  <si>
    <t>เครื่องสลายนิ่วในระบบทางเดินปัสสาวะด้วยเลเซอร์ ขนาดไม่น้อยกว่า 20 วัตต์</t>
  </si>
  <si>
    <t>Laser Lithotripsy ≥ 20 w</t>
  </si>
  <si>
    <t>URO-7</t>
  </si>
  <si>
    <t>ชุดถ่ายทอดสัญญาณความละเอียดสูงสำหรับการผ่าตัดผ่านกล้องระบบทางเดินปัสสาวะ</t>
  </si>
  <si>
    <t xml:space="preserve">Urological HD Camera System </t>
  </si>
  <si>
    <t>URO-8</t>
  </si>
  <si>
    <t>เครื่องเลเซอร์พลังงานสูงขนาดไม่น้อยกว่า100 วัตต์</t>
  </si>
  <si>
    <t>laser high power</t>
  </si>
  <si>
    <t>URO-9</t>
  </si>
  <si>
    <t>เครื่องสลายนิ่ว (Lithotripter)</t>
  </si>
  <si>
    <t>Lithotripter</t>
  </si>
  <si>
    <t>MP-1</t>
  </si>
  <si>
    <t>รถเข็นชนิดนั่ง</t>
  </si>
  <si>
    <t>MP-2</t>
  </si>
  <si>
    <t>รถเข็นชนิดนอน</t>
  </si>
  <si>
    <t>MP-3</t>
  </si>
  <si>
    <t>รถเข็นทำแผล</t>
  </si>
  <si>
    <t>MP-4</t>
  </si>
  <si>
    <t>รถเข็นอาหาร</t>
  </si>
  <si>
    <t>MP-5</t>
  </si>
  <si>
    <t>รถเข็นผ้าเปื้อน</t>
  </si>
  <si>
    <t>MP-6</t>
  </si>
  <si>
    <t>เครื่องดูดเสมหะ</t>
  </si>
  <si>
    <t>MP-7</t>
  </si>
  <si>
    <t>เครื่องชั่งน้ำหนักแบบดิจิทัลพร้อมที่วัดส่วนสูง</t>
  </si>
  <si>
    <t>MP-8</t>
  </si>
  <si>
    <t>เครื่องวัดความดันโลหิตชนิดอัตโนมัติแบบสอดแขน</t>
  </si>
  <si>
    <t>MP-10</t>
  </si>
  <si>
    <t>ห้องอบไอน้ำเดี่ยว</t>
  </si>
  <si>
    <t>Single steam room</t>
  </si>
  <si>
    <t>MP-11</t>
  </si>
  <si>
    <t>เครื่องให้ความอบอุ่นชนิดเป่าลมร้อน</t>
  </si>
  <si>
    <t>Forced-Air Warmer</t>
  </si>
  <si>
    <t>MP-12</t>
  </si>
  <si>
    <t>ชุดแขวนอุปกรณ์ช่วยชีวิตทางการแพทย์ชนิดไม่มีแขน</t>
  </si>
  <si>
    <t>Pendant</t>
  </si>
  <si>
    <t>MP-13</t>
  </si>
  <si>
    <t>ชุดแขวนอุปกรณ์ช่วยชีวิตทางการแพทย์ชนิดมีแขน</t>
  </si>
  <si>
    <t>Pendant with arm</t>
  </si>
  <si>
    <t>MP-14</t>
  </si>
  <si>
    <t>เครื่องผลิตแรงดันอากาศทางการแพทย์</t>
  </si>
  <si>
    <t>Medical Air Pressure Generator</t>
  </si>
  <si>
    <t>MP-15</t>
  </si>
  <si>
    <t>ตู้เคลื่อนย้ายผู้ป่วยติดเชื้อ</t>
  </si>
  <si>
    <t xml:space="preserve"> transport Isolator</t>
  </si>
  <si>
    <t>MP-16</t>
  </si>
  <si>
    <t>เครื่องกรองน้ำบริสุทธิ์ ขนาดไม่น้อยกว่า 250 ลิตรต่อชั่วโมง</t>
  </si>
  <si>
    <t>pure water filter not less than 250 liters per hour</t>
  </si>
  <si>
    <t>MP-17</t>
  </si>
  <si>
    <t>เครื่องชั่งน้ำหนักผู้ป่วยบนเปลนอน</t>
  </si>
  <si>
    <t>Weighing the patient on the stretcher</t>
  </si>
  <si>
    <t>MP-18</t>
  </si>
  <si>
    <t>เครื่องบรรจุของเหลวและปิดฝาเกลียวอัตโนมัติชนิด 4 หัว</t>
  </si>
  <si>
    <t>Automatic liquid filling and capping machine, 4-head type</t>
  </si>
  <si>
    <t>MP-19</t>
  </si>
  <si>
    <t>เครื่องตรวจสแกนหาหลอดเลือดดำตื้นใต้ผิวหนัง</t>
  </si>
  <si>
    <t>venous scanner for superficial skin</t>
  </si>
  <si>
    <t>MP-20</t>
  </si>
  <si>
    <t>ชุดแขวนอุปกรณ์การแพทย์แบบ 2 แขน พร้อมโคมไฟแอลอีดี ขนาดไม่น้อยกว่า 60,000 ลักซ์</t>
  </si>
  <si>
    <t>Pendant with LCD lamp size not less than 60,000 lux</t>
  </si>
  <si>
    <t>MP-21</t>
  </si>
  <si>
    <t>หมวกเลเซอร์ปลูกผมโดยใช้เทคโนโลยีบำบัดด้วยแสงเลเซอร์กำลังต่ำ</t>
  </si>
  <si>
    <t>ฉบับ พ.ย. 62</t>
  </si>
  <si>
    <t>พฤศจิกายน 2562 - พฤศจิกายน 2570 (8 ปี)</t>
  </si>
  <si>
    <t>MP-23</t>
  </si>
  <si>
    <t>เครื่องหั่นสมุนไพรสายพาน</t>
  </si>
  <si>
    <t>Automatic Herb Slicer with Conveyor System</t>
  </si>
  <si>
    <t>MP-24</t>
  </si>
  <si>
    <t>หุ่นยนต์เคลื่อนที่อัจฉริยะสำหรับส่งวัสดุอุปกรณ์การแพทย์</t>
  </si>
  <si>
    <t>Intelligent Mobile Robot for Medical Equipment Delivery</t>
  </si>
  <si>
    <t>MP-25</t>
  </si>
  <si>
    <t>เก้าอี้เคลื่อนย้ายสำหรับผู้ป่วยฉุกเฉิน</t>
  </si>
  <si>
    <t xml:space="preserve"> powered stairchair</t>
  </si>
  <si>
    <t>ตัว</t>
  </si>
  <si>
    <t>MP-26</t>
  </si>
  <si>
    <t>รถเข็นวางอุปกรณ์การแพทย์ฉุกเฉิน</t>
  </si>
  <si>
    <t>Emergency Medical Equipment Trolley</t>
  </si>
  <si>
    <t>MP-27</t>
  </si>
  <si>
    <t>เครื่องช่วยเพิ่มระดับออกซิเจนในเลือดและแก้ไขภาวะเลือดเป็นกรดเฉียบพลัน</t>
  </si>
  <si>
    <t>Extracorporeal Membrane Oxygenation Machine</t>
  </si>
  <si>
    <t>MP-28</t>
  </si>
  <si>
    <t>รถเข็นแจกยาเม็ดและยาฉีด</t>
  </si>
  <si>
    <t xml:space="preserve">Dispensing Carriage </t>
  </si>
  <si>
    <t>MP-29</t>
  </si>
  <si>
    <t>ชุดอุปกรณ์ช่วยชีวิตผู้ป่วยสำหรับติดตั้งในห้องฉุกเฉินแบบครบวงจร</t>
  </si>
  <si>
    <t>One-Stop Emergency Center</t>
  </si>
  <si>
    <t>MP-30</t>
  </si>
  <si>
    <t>เครื่องชั่งน้ำหนักสำหรับรถเข็นนอนสำหรับโรงพยาบาล พร้อมระบบเชื่อมต่อฐานข้อมูลโรงพยาบาลอัตโนมัติ</t>
  </si>
  <si>
    <t>MP-31</t>
  </si>
  <si>
    <t>เครื่องชั่งน้ำหนักวัดส่วนสูงสำหรับเด็กสำหรับโรงพยาบาล พร้อมระบบเชื่อมต่อฐานข้อมูลโรงพยาบาลอัตโนมัติ</t>
  </si>
  <si>
    <t>MP-32</t>
  </si>
  <si>
    <t>เครื่องชั่งน้ำหนักแบบดิจิทัลพร้อมที่วัดส่วนสูงสำหรับโรงพยาบาล พร้อมระบบเชื่อมต่อฐานข้อมูลโรงพยาบาลอัตโนมัติ</t>
  </si>
  <si>
    <t>ENT-1</t>
  </si>
  <si>
    <t>กล้องส่องตรวจรักษาโพรงจมูกและกล่องเสียง</t>
  </si>
  <si>
    <t>endoscope Treatment of the nasal cavity and larynx</t>
  </si>
  <si>
    <t>ENT-2</t>
  </si>
  <si>
    <t>กล้องส่องตรวจสายเสียงชนิดตัดชิ้นเนื้อส่งตรวจได้</t>
  </si>
  <si>
    <t>A biopsy type endoscope can be sent for examination</t>
  </si>
  <si>
    <t>ENT-3</t>
  </si>
  <si>
    <t>เครื่องกรอกระดูกหลังหู</t>
  </si>
  <si>
    <t xml:space="preserve"> boring tool for posteiror auircular bone</t>
  </si>
  <si>
    <t>ENT-4</t>
  </si>
  <si>
    <t>เครื่องตรวจการได้ยินด้วยคอมพิวเตอร์</t>
  </si>
  <si>
    <t>computerized hearing examination</t>
  </si>
  <si>
    <t>ENT-5</t>
  </si>
  <si>
    <t>เครื่องตรวจการได้ยินระบบคอมพิวเตอร์ชนิดตั้งโต๊ะ</t>
  </si>
  <si>
    <t>Desktop type hearing exmamination</t>
  </si>
  <si>
    <t>ENT-6</t>
  </si>
  <si>
    <t>เครื่องตรวจวัดสมรรถภาพของหูชั้นกลาง</t>
  </si>
  <si>
    <t>middle ear function tester</t>
  </si>
  <si>
    <t>ENT-7</t>
  </si>
  <si>
    <t>เครื่องทดสอบการได้ยิน</t>
  </si>
  <si>
    <t>OAE+ Automated ABR</t>
  </si>
  <si>
    <t>ENT-8</t>
  </si>
  <si>
    <t>เครื่องนำวิถีผ่าตัดไซนัส</t>
  </si>
  <si>
    <t>ENT Navigation</t>
  </si>
  <si>
    <t>ENT-9</t>
  </si>
  <si>
    <t>เครื่องมือตรวจคัดกรองการได้ยินในเด็กแรกเกิด</t>
  </si>
  <si>
    <t>TEOAE</t>
  </si>
  <si>
    <t>ENT-11</t>
  </si>
  <si>
    <t>เครื่องมือผ่าตัดในโพรงจมูกด้วยระบบ ตัด ปั่น ดูด</t>
  </si>
  <si>
    <t>Micro Debrider</t>
  </si>
  <si>
    <t>ENT-12</t>
  </si>
  <si>
    <t>เครื่องเลเซอร์ผ่าตัดหู คอ จมูก</t>
  </si>
  <si>
    <t>Laser machine for ear, nose and throat surgery</t>
  </si>
  <si>
    <t>ENT-13</t>
  </si>
  <si>
    <t>ชุดเครื่องมือคว้านโพรงกระดูก</t>
  </si>
  <si>
    <t>Bone boring tool set</t>
  </si>
  <si>
    <t>ENT-14</t>
  </si>
  <si>
    <t>ชุดเครื่องมือตรวจหู คอ จมูก วีดิทัศน์ชุดเล็ก</t>
  </si>
  <si>
    <t>Ear, Nose, Throat Examination Tool Kit, Small Video Set</t>
  </si>
  <si>
    <t>ENT-15</t>
  </si>
  <si>
    <t>ชุดเครื่องมือตรวจหู คอ จมูก วีดิทัศน์ชุดกลาง</t>
  </si>
  <si>
    <t>Ear, Nose, Throat Examination Tool Kit, Video Medium Set</t>
  </si>
  <si>
    <t>ENT-16</t>
  </si>
  <si>
    <t>ชุดเครื่องมือตรวจหู คอ จมูก วีดิทัศน์ชุดใหญ่</t>
  </si>
  <si>
    <t>Ear, Nose, Throat Examination Tool Kit, Video Large Set</t>
  </si>
  <si>
    <t>ENT-17</t>
  </si>
  <si>
    <t>ชุดถ่ายทอดสัญญาณภาพจากเลนส์ ส่องโพรงจมูก และไซนัส ออกจอภาพ</t>
  </si>
  <si>
    <t>Transmitting the image signal from the lens, looking at the nasal cavity and sinuses out of the screen</t>
  </si>
  <si>
    <t>ENT-18</t>
  </si>
  <si>
    <t>ชุดไฟส่องสวมศีรษะใช้ในการผ่าตัด 400 วัตต์</t>
  </si>
  <si>
    <t>400 watt surgical headlamp</t>
  </si>
  <si>
    <t>ENT-19</t>
  </si>
  <si>
    <t>ตู้ตรวจการได้ยิน ขนาดไม่น้อยกว่า 2 เมตร</t>
  </si>
  <si>
    <t>hearing test cabinet</t>
  </si>
  <si>
    <t>ENT-20</t>
  </si>
  <si>
    <t>ชุดตรวจหู ตา</t>
  </si>
  <si>
    <t>OpthalmoOtoscope</t>
  </si>
  <si>
    <t>ENT-21</t>
  </si>
  <si>
    <t>เครื่องตรวจชุดตรวจตา หู ช่องปาก ผิวหนังชนิดมือถือด้วยระบบดิจิตอล</t>
  </si>
  <si>
    <t>Digital Hand-held Diagnostic Set</t>
  </si>
  <si>
    <t>ENT-22</t>
  </si>
  <si>
    <t>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t>
  </si>
  <si>
    <t>Handheld Digital Ear and Oral Examination Kit with Foreign Object Removal Forceps and Image Processing &amp; Transmission Software</t>
  </si>
  <si>
    <t>ENT-23</t>
  </si>
  <si>
    <t xml:space="preserve">เครื่องประเมินผลลัพธ์การให้บริการเครื่องช่วยฟัง </t>
  </si>
  <si>
    <t>real ear measurement</t>
  </si>
  <si>
    <t>ENT-24</t>
  </si>
  <si>
    <t>เครื่องตรวจวินิจฉัยการนอนหลับแบบมีเครื่องวัดคลื่นสมองการหลับ และอุปกรณ์วัดระดับแรงดันเครื่องอัดอากาศแรงดันบวก</t>
  </si>
  <si>
    <t xml:space="preserve">full channel polysomnogram with PAP titration
</t>
  </si>
  <si>
    <t>ENT-25</t>
  </si>
  <si>
    <t>เครื่องตรวจวินิจฉัยการนอนหลับแบบไม่มีเครื่องวัดคลื่นสมองการหลับ</t>
  </si>
  <si>
    <t>limit channel polysomnogram</t>
  </si>
  <si>
    <t>ENT-26</t>
  </si>
  <si>
    <t>เครื่องตรวจการได้ยินระดับก้านสมองและสมอง</t>
  </si>
  <si>
    <t>Diagnostic ABR ASSR</t>
  </si>
  <si>
    <t>US-1</t>
  </si>
  <si>
    <t>เครื่องอัลตราซาวด์แบบมือถือ</t>
  </si>
  <si>
    <t>Handheld ultrasound doppler</t>
  </si>
  <si>
    <t>US-2</t>
  </si>
  <si>
    <t>เครื่องตรวจอวัยวะภายในด้วยคลื่นเสียงความคมชัดสูง 2 หัวตรวจ</t>
  </si>
  <si>
    <t>2-Probes High Definition Doppler Ultrasound</t>
  </si>
  <si>
    <t>US-3</t>
  </si>
  <si>
    <t>เครื่องตรวจอวัยวะภายในด้วยคลื่นเสียงความคมชัดสูงชนิดสีระดับสูง 5 หัวตรวจ</t>
  </si>
  <si>
    <t>5-Probes High Definition High Color Doppler Ultrasound</t>
  </si>
  <si>
    <t>US-4</t>
  </si>
  <si>
    <t>เครื่องตรวจอวัยวะภายในด้วยคลื่นเสียงความถี่สูงชนิดใช้ในห้องผ่าตัด</t>
  </si>
  <si>
    <t>Operating Room Doppler Ultrasound</t>
  </si>
  <si>
    <t>US-5</t>
  </si>
  <si>
    <t>เครื่องตรวจอวัยวะภายในด้วยคลื่นเสียงความถี่สูงชนิดสี 2 หัวตรวจ</t>
  </si>
  <si>
    <t>2-Probes High Color Doppler Ultrasound</t>
  </si>
  <si>
    <t>US-6</t>
  </si>
  <si>
    <t>เครื่องตรวจอวัยวะภายในด้วยคลื่นเสียงความถี่สูงชนิดหิ้วถือ 2 หัวตรวจ</t>
  </si>
  <si>
    <t>2-Probes Portable Doppler Ultrasound</t>
  </si>
  <si>
    <t>US-7</t>
  </si>
  <si>
    <t>เครื่องตรวจอวัยวะภายในด้วยคลื่นเสียงความถี่สูง ระดับความคมชัดสูง 3 หัวตรวจ</t>
  </si>
  <si>
    <t>3-Probes High Definition Doppler Ultrasound</t>
  </si>
  <si>
    <t>US-8</t>
  </si>
  <si>
    <t>เครื่องตรวจอวัยวะภายในด้วยคลื่นเสียงความถี่สูง สำหรับทำ Vascular access Regional nerve block</t>
  </si>
  <si>
    <t>Doppler Ultrasound for Vascular access Regional Nerve Block</t>
  </si>
  <si>
    <t>US-9</t>
  </si>
  <si>
    <t>เครื่องอัลตราซาวด์แบบไร้สาย</t>
  </si>
  <si>
    <t>Wiless Ultrasound Probe</t>
  </si>
  <si>
    <t>US-10</t>
  </si>
  <si>
    <t>เครื่องตรวจหาภาวะพังผืดในตับและตรวจวัดปริมาณไขมันสะสมในตับ</t>
  </si>
  <si>
    <t>transient elastograph</t>
  </si>
  <si>
    <t>US-11</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</si>
  <si>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</si>
  <si>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</si>
  <si>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US-12</t>
  </si>
  <si>
    <t>เครื่องตรวจอวัยวะภายในด้วยคลื่นเสียงความคมชัดสูง ชนิดสีระดับสูง 5 หัวตรวจ พร้อมระบบ Fusion</t>
  </si>
  <si>
    <t>5-Probes High Definition High Color Ultrasound with Fusion System</t>
  </si>
  <si>
    <t>US-13</t>
  </si>
  <si>
    <t>เครื่องตรวจเต้านมด้วยคลื่นเสียงความถี่สูงแบบอัตโนมัติ ชนิด 3 มิติ</t>
  </si>
  <si>
    <t>3D Automatic Breast Ultrasound System (ABUS)</t>
  </si>
  <si>
    <t>US-14</t>
  </si>
  <si>
    <t>เครื่องตรวจเต้านมด้วยคลื่นเสียงความถี่สูงแบบอัตโนมัติ ชนิด 3 มิติ พร้อมระบบ AI</t>
  </si>
  <si>
    <t>3D Automatic Breast Ultrasound System (ABUS) with AI system</t>
  </si>
  <si>
    <t>US-15</t>
  </si>
  <si>
    <t>เครื่องตรวจอวัยวะภายในด้วยคลื่นเสียงความถี่สูงแบบพกพาไม่ต้องชาร์จไฟฟ้าพร้อมระบบแพทย์ทางไกล</t>
  </si>
  <si>
    <t>Portable Battery-Free Ultrasound Device with Telemedicine System</t>
  </si>
  <si>
    <t>US-16</t>
  </si>
  <si>
    <t>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t>
  </si>
  <si>
    <t>AI-Powered Medical Imaging System for Breast Diagnosis with Integration to Ultrasound Devices</t>
  </si>
  <si>
    <t>US-17</t>
  </si>
  <si>
    <t>เครื่องตรวจอวัยวะภายในด้วยคลื่นเสียงความถี่สูงชนิดพกพาได้พร้อมระบบการแพทย์ทางไกล</t>
  </si>
  <si>
    <t>Portable Doppler Ultrasound with telemedicine system</t>
  </si>
  <si>
    <t>US-18</t>
  </si>
  <si>
    <t>เครื่องตรวจอวัยวะภายในด้วยคลื่นเสียงความถี่สูงสำหรับงานผ่าตัดส่องกล้อง</t>
  </si>
  <si>
    <t>4-way Laparoscopic Transducer</t>
  </si>
  <si>
    <t>US-19</t>
  </si>
  <si>
    <t>เครื่องตรวจอวัยวะภายในด้วยคลื่นความถี่สูงพกพาได้พร้อมระบบ Worklist และระบบอ่านผลการแพทย์ทางไกล</t>
  </si>
  <si>
    <t>Portable Ultrasound Machine with Worklist and Telemedicine Reading System</t>
  </si>
  <si>
    <t>XR-1</t>
  </si>
  <si>
    <t>เครื่องอ่านและแปลงสัญญาณข้อมูลภาพเอกซเรย์เป็นระบบดิจิตอล</t>
  </si>
  <si>
    <t>Digital X-ray image data reader and converter</t>
  </si>
  <si>
    <t>XR-2</t>
  </si>
  <si>
    <t>ชุดแขวนหลอดเอกซเรย์ติดเพดาน</t>
  </si>
  <si>
    <t>X-ray lamp hanging kit, ceiling mounted</t>
  </si>
  <si>
    <t>XR-3</t>
  </si>
  <si>
    <t>เครื่องรับสัญญาณภาพเอกซเรย์เป็นดิจิตอลชนิดชุดรับภาพแฟลตพาแนลไร้สาย</t>
  </si>
  <si>
    <t>Wireless Digital Flat Panel Detector</t>
  </si>
  <si>
    <t>XR-7</t>
  </si>
  <si>
    <t>เครื่องเอกซเรย์เคลื่อนที่ขนาดไม่น้อยกว่า 100 mA.</t>
  </si>
  <si>
    <t>Mobile X-Ray 100 mA</t>
  </si>
  <si>
    <t>XR-8</t>
  </si>
  <si>
    <t>เครื่องเอกซเรย์เคลื่อนที่ขนาดไม่น้อยกว่า 300 mA.ขับเคลื่อนด้วยมอเตอร์ไฟฟ้า</t>
  </si>
  <si>
    <t>Motorized Mobile X-Ray 300 mA</t>
  </si>
  <si>
    <t>XR-9</t>
  </si>
  <si>
    <t>เครื่องเอกซเรย์เคลื่อนที่ดิจิตอลไม่น้อยกว่า 300 mA.</t>
  </si>
  <si>
    <t>Mobile Digital Radiography 300 mA</t>
  </si>
  <si>
    <t>XR-10</t>
  </si>
  <si>
    <t>เครื่องเอกซเรย์ดิจิตอลฟลูออโรสโคป</t>
  </si>
  <si>
    <t>Digital Fluoroscopy</t>
  </si>
  <si>
    <t>XR-11</t>
  </si>
  <si>
    <t>เครื่องเอกซเรย์ทั่วไปขนาดไม่น้อยกว่า 1,000 mA.แบบแขวนเพดาน</t>
  </si>
  <si>
    <t>Ceiling Mounted General Radiography 1000 mA</t>
  </si>
  <si>
    <t>XR-12</t>
  </si>
  <si>
    <t>เครื่องเอกซเรย์ทั่วไปขนาดไม่น้อยกว่า 1,000 mA.แบบแขวนเพดานดิจิตอล 1 จอรับภาพ</t>
  </si>
  <si>
    <t>Ceiling Mounted Digital Radiography 1000 mA 1 Detector</t>
  </si>
  <si>
    <t>XR-13</t>
  </si>
  <si>
    <t>เครื่องเอกซเรย์ทั่วไปขนาดไม่น้อยกว่า 1,000 mA.แบบแขวนเพดานดิจิตอล 2 จอรับภาพ</t>
  </si>
  <si>
    <t>Ceiling Mounted Digital Radiography 1000 mA 2 Detector</t>
  </si>
  <si>
    <t>XR-14</t>
  </si>
  <si>
    <t>เครื่องเอกซเรย์ทั่วไปขนาดไม่น้อยกว่า 500 mA.แบบแขวนเพดาน</t>
  </si>
  <si>
    <t>Ceiling Mounted General Radiography 500 mA</t>
  </si>
  <si>
    <t>XR-15</t>
  </si>
  <si>
    <t>เครื่องเอกซเรย์ทั่วไปขนาดไม่น้อยกว่า 500 mA.แบบตั้งพื้น</t>
  </si>
  <si>
    <t>Floor Mounted General Radiography 500 mA</t>
  </si>
  <si>
    <t>XR-16</t>
  </si>
  <si>
    <t>เครื่องเอกซเรย์ฟลูโอโรสโคปเคลื่อนที่แบบซีอาร์มกำลังไม่น้อยกว่า 15 kW</t>
  </si>
  <si>
    <t>Mobile C-Arm with Image Intensifier 15 kW</t>
  </si>
  <si>
    <t>XR-17</t>
  </si>
  <si>
    <t>เครื่องเอกซเรย์ฟลูโอโรสโคปเคลื่อนที่แบบซีอาร์มกำลังไม่น้อยกว่า 2.2 kW</t>
  </si>
  <si>
    <t>Mobile C-Arm with Image Intensifier 2.2 kW</t>
  </si>
  <si>
    <t>XR-18</t>
  </si>
  <si>
    <t>เครื่องเอกซเรย์ฟลูโอโรสโคปเคลื่อนที่แบบซีอาร์มกำลังไม่น้อยกว่า 2.2 kw ชุดรับภาพชนิดแฟลตพาแนล</t>
  </si>
  <si>
    <t>Mobile C-Arm with Flat Panel Detector 2.2 kW</t>
  </si>
  <si>
    <t>XR-19</t>
  </si>
  <si>
    <t>เครื่องเอกซเรย์ฟลูโอโรสโคปเคลื่อนที่แบบซีอาร์มกำลังไม่น้อยกว่า 15 kW ชุดรับภาพชนิดแฟลตพาแนล</t>
  </si>
  <si>
    <t>Mobile C-Arm with Flat Panel Detector 15 kW</t>
  </si>
  <si>
    <t>XR-20</t>
  </si>
  <si>
    <t>เครื่องเอกซเรย์หลอดเลือดชนิดระนาบเดี่ยว</t>
  </si>
  <si>
    <t>Single Plane Digital Subtraction Angiography</t>
  </si>
  <si>
    <t>XR-21</t>
  </si>
  <si>
    <t>เครื่องเอกซเรย์หลอดเลือดชนิดระนาบเดี่ยวแบบใช้งานร่วมกับเตียงผ่าตัดชนิดไฮบริด</t>
  </si>
  <si>
    <t>Single Plane Hybrid OR Digital Subtraction Angiography</t>
  </si>
  <si>
    <t>XR-22</t>
  </si>
  <si>
    <t>เครื่องเอกซเรย์หลอดเลือดชนิดระนาบเดี่ยวร่วมกับภาพเอกซเรย์คอมพิวเตอร์</t>
  </si>
  <si>
    <t>Single Plane Digital Subtraction Angiography with Computed Tomography</t>
  </si>
  <si>
    <t>XR-23</t>
  </si>
  <si>
    <t>เครื่องเอกซเรย์หลอดเลือดชนิดสองระนาบ</t>
  </si>
  <si>
    <t>Biplane Digital Subtraction Angiography</t>
  </si>
  <si>
    <t>XR-24</t>
  </si>
  <si>
    <t>เครื่องถ่ายภาพรังสีโพสิตรอนร่วมกับภาพเอกซเรย์คอมพิวเตอร์</t>
  </si>
  <si>
    <t>Positron Emission Tomography/Computed Tomography</t>
  </si>
  <si>
    <t>XR-25</t>
  </si>
  <si>
    <t>เครื่องถ่ายภาพรังสีโพสิตรอนร่วมกับภาพตรวจวินิจฉัยโรคด้วยคลื่นแม่เหล็กไฟฟ้า</t>
  </si>
  <si>
    <t>Positron Emission Tomography/Magnetic Resonance Imaging</t>
  </si>
  <si>
    <t>XR-26</t>
  </si>
  <si>
    <t>เครื่องถ่ายภาพรังสีแกมม่าหลายระนาบ พร้อมเอกซเรย์คอมพิวเตอร์</t>
  </si>
  <si>
    <t>Single Photon Emission Computed Tomography/Computed Tomography</t>
  </si>
  <si>
    <t>XR-27</t>
  </si>
  <si>
    <t>เครื่องเอกซเรย์คอมพิวเตอร์ ขนาดไม่น้อยกว่า 16 สไลซ์</t>
  </si>
  <si>
    <t>16 Slice Computed Tomography</t>
  </si>
  <si>
    <t>XR-28</t>
  </si>
  <si>
    <t>เครื่องเอกซเรย์คอมพิวเตอร์ ขนาดไม่น้อยกว่า 32 สไลซ์</t>
  </si>
  <si>
    <t>32 Slice Computed Tomography</t>
  </si>
  <si>
    <t>XR-29</t>
  </si>
  <si>
    <t>เครื่องเอกซเรย์คอมพิวเตอร์ ขนาดไม่น้อยกว่า 64 สไลซ์</t>
  </si>
  <si>
    <t>64 Slice Computed Tomography</t>
  </si>
  <si>
    <t>XR-30</t>
  </si>
  <si>
    <t>เครื่องเอกซเรย์คอมพิวเตอร์ ขนาดไม่น้อยกว่า 128 สไลซ์</t>
  </si>
  <si>
    <t>128 Slice Computed Tomography</t>
  </si>
  <si>
    <t>XR-31</t>
  </si>
  <si>
    <t>เครื่องเอกซเรย์คอมพิวเตอร์ ขนาดไม่น้อยกว่า 256 สไลซ์</t>
  </si>
  <si>
    <t>256 Slice Computed Tomography</t>
  </si>
  <si>
    <t>XR-32</t>
  </si>
  <si>
    <t>ชุดคอมพิวเตอร์ พร้อมจออ่านภาพเอกซเรย์ดิจิตอล ขนาดไม่น้อยกว่า 3 ล้านพิกเซลชนิดจอคู่</t>
  </si>
  <si>
    <t xml:space="preserve">Diagnostic Workstation 3 MP Dual Monitor </t>
  </si>
  <si>
    <t>XR-33</t>
  </si>
  <si>
    <t>ชุดคอมพิวเตอร์ พร้อมจออ่านภาพเอกซเรย์ดิจิตอล ขนาดไม่น้อยกว่า 6 ล้านพิกเซลชนิดจอเดี่ยว</t>
  </si>
  <si>
    <t>Diagnostic Workstation 6 MP  Monitor Fusion</t>
  </si>
  <si>
    <t>XR-34</t>
  </si>
  <si>
    <t>ชุดคอมพิวเตอร์ พร้อมจออ่านภาพเอกซเรย์ดิจิตอล ขนาดไม่น้อยกว่า 5 ล้านพิกเซลชนิดจอคู่</t>
  </si>
  <si>
    <t xml:space="preserve">Diagnostic Workstation 5 MP Dual Monitor </t>
  </si>
  <si>
    <t>XR-35</t>
  </si>
  <si>
    <t>ชุดคอมพิวเตอร์ พร้อมจออ่านภาพเอกซเรย์ดิจิตอล ขนาดไม่น้อยกว่า 12 ล้านพิกเซลชนิดจอเดี่ยว</t>
  </si>
  <si>
    <t>Diagnostic Workstation 12 MP  Monitor Fusion</t>
  </si>
  <si>
    <t>XR-36</t>
  </si>
  <si>
    <t>เครื่องฉีดสารทึบรังสีชนิด 1 หัวฉีด แรงดันต่ำ</t>
  </si>
  <si>
    <t>Single Head Low Pressure Injector</t>
  </si>
  <si>
    <t>XR-37</t>
  </si>
  <si>
    <t>เครื่องฉีดสารทึบรังสีชนิด 1 หัวฉีด แรงดันสูง</t>
  </si>
  <si>
    <t>Single Head High Pressure Injector</t>
  </si>
  <si>
    <t>XR-38</t>
  </si>
  <si>
    <t>เครื่องฉีดสารทึบรังสีชนิด 2 หัวฉีด แรงดันต่ำ</t>
  </si>
  <si>
    <t>Dual Head Low Pressure Injector</t>
  </si>
  <si>
    <t>XR-39</t>
  </si>
  <si>
    <t>เครื่องตรวจอวัยวะภายในด้วยคลื่นแม่เหล็กไฟฟ้าขนาดไม่น้อยกว่า 1.5 เทสลา</t>
  </si>
  <si>
    <t>1.5 Tesla Magnetic Resonance Imaging</t>
  </si>
  <si>
    <t>XR-40</t>
  </si>
  <si>
    <t>เครื่องตรวจอวัยวะภายในด้วยคลื่นแม่เหล็กไฟฟ้าขนาดไม่น้อยกว่า 3.0 เทสลา</t>
  </si>
  <si>
    <t>3.0 Tesla Magnetic Resonance Imaging</t>
  </si>
  <si>
    <t>XR-41</t>
  </si>
  <si>
    <t>เครื่องให้การรักษาทางกายภาพด้วยคลื่นแม่เหล็กไฟฟ้า</t>
  </si>
  <si>
    <t>Electromagnetic resonance physical therapy machine</t>
  </si>
  <si>
    <t>XR-42</t>
  </si>
  <si>
    <t>เครื่องเอกซเรย์เต้านมระบบดิจิตอล</t>
  </si>
  <si>
    <t>Digital Mammogram</t>
  </si>
  <si>
    <t>XR-43</t>
  </si>
  <si>
    <t>เครื่องเอกซเรย์เต้านมระบบดิจิตอล 3 มิติ</t>
  </si>
  <si>
    <t>Digital Mammogram with 3D</t>
  </si>
  <si>
    <t>XR-44</t>
  </si>
  <si>
    <t>เครื่องเอกซเรย์เต้านมระบบดิจิตอล 3 มิติ พร้อมชุดอุปกรณ์ระบุตำแหน่งในการเจาะตัดชิ้นเนื้อเต้านม</t>
  </si>
  <si>
    <t xml:space="preserve">Digital Mammogram with 3D Tomosystersis with Stereotactic </t>
  </si>
  <si>
    <t>XR-45</t>
  </si>
  <si>
    <t>รถคัดกรองมะเร็งเต้านมเคลื่อนที่ระบบดิจิตอล</t>
  </si>
  <si>
    <t>Digital Mamogram Vehicle</t>
  </si>
  <si>
    <t>XR-46</t>
  </si>
  <si>
    <t>เครื่องวัดสัญญาณชีพในห้องตรวจคลื่นแม่เหล็กไฟฟ้า</t>
  </si>
  <si>
    <t>Bedside Monitor for Magnetic Resonance Imaging Room</t>
  </si>
  <si>
    <t>XR-47</t>
  </si>
  <si>
    <t>ตู้อุ่นสารทึบรังสี</t>
  </si>
  <si>
    <t>Radiant warming cabinet</t>
  </si>
  <si>
    <t>XR-48</t>
  </si>
  <si>
    <t>เครื่องเอกซเรย์ฟลูโอโรสโคปเคลื่อนที่แบบซีอาร์มกำลังไม่น้อยกว่า 1.5 kW ชุดรับภาพชนิดแฟลตพาแนล</t>
  </si>
  <si>
    <t>Mobile C-Arm with Flat Panel Detector 1.5 kW</t>
  </si>
  <si>
    <t>XR-50</t>
  </si>
  <si>
    <t>ระบบวางแผนการรักษาและผ่าตัดสำหรับคนไข้กระดูกและข้อแบบ 3 มิติ</t>
  </si>
  <si>
    <t>3D Orthopaedic Workstation for Surgical Planning</t>
  </si>
  <si>
    <t>XR-51</t>
  </si>
  <si>
    <t>ระบบการ Sharing ภาพและผลวินิจฉัยทางรังสีวิทยาของผู้ป่วย</t>
  </si>
  <si>
    <t>Diagnostic Imaging Sharing System</t>
  </si>
  <si>
    <t>XR-52</t>
  </si>
  <si>
    <t>ระบบจัดเก็บ เชื่อมต่อข้อมูลภาพและเอกสารแบบอิเล็กทรอนิกส์ชนิด DICOM และ Non-Dicom สำหรับโรงพยาบาลขนาดไม่เกิน 200 เตียง</t>
  </si>
  <si>
    <t>Vendor Neutral Archrive for Hospital less than 200 Beds</t>
  </si>
  <si>
    <t>XR-53</t>
  </si>
  <si>
    <t>ระบบจัดเก็บ เชื่อมต่อข้อมูลภาพและเอกสารแบบอิเล็กทรอนิกส์ชนิด DICOM และ Non-Dicom สำหรับโรงพยาบาลขนาด 200-400 เตียง</t>
  </si>
  <si>
    <t>Vendor Neutral Archrive for Hospital between 200 - 400 Beds</t>
  </si>
  <si>
    <t>XR-54</t>
  </si>
  <si>
    <t>ระบบจัดเก็บ เชื่อมต่อข้อมูลภาพและเอกสารแบบอิเล็กทรอนิกส์ชนิด DICOM และ Non-Dicom สำหรับโรงพยาบาลขนาด 400-600 เตียง</t>
  </si>
  <si>
    <t>Vendor Neutral Archrive for Hospital between 400 - 600 Beds</t>
  </si>
  <si>
    <t>XR-55</t>
  </si>
  <si>
    <t>ระบบจัดเก็บ เชื่อมต่อข้อมูลภาพและเอกสารแบบอิเล็กทรอนิกส์ชนิด DICOM และ Non-Dicom สำหรับโรงพยาบาลขนาดมากกว่า 600 เตียง</t>
  </si>
  <si>
    <t>Vendor Neutral Archrive for Hospital more than 600 Beds</t>
  </si>
  <si>
    <t>XR-61</t>
  </si>
  <si>
    <t>เครื่องรับสัญญาณภาพเอกซเรย์เป็นดิจิทัล ชนิดชุดรับภาพ แฟลตพาแนลไร้สาย (Digital Radiography)</t>
  </si>
  <si>
    <t>Digital Radiography</t>
  </si>
  <si>
    <t>ฉบับ เม.ย. 67</t>
  </si>
  <si>
    <t>เมษายน 2567 -เมษายน 2575 (8 ปี)</t>
  </si>
  <si>
    <t>XR-62</t>
  </si>
  <si>
    <t>ชุดเพิ่มประสิทธิภาพเครื่องเอกซเรย์เต้านมระบบดิจิตอล 3 มิติ</t>
  </si>
  <si>
    <t>3D Tomosystersis</t>
  </si>
  <si>
    <t>XR-63</t>
  </si>
  <si>
    <t>เครื่องเอกซเรย์ภาพรังสีแบบพกพา</t>
  </si>
  <si>
    <t>Portable X-ray Machine</t>
  </si>
  <si>
    <t>XR-64</t>
  </si>
  <si>
    <t>เครื่องเอกซเรย์เคลื่อนที่ระบบแพทย์ทางไกลแบบพกพาพร้อมชุดรับสัญญาณภาพดิจิตอลแบบไร้สาย</t>
  </si>
  <si>
    <t>Portable Mobile X-ray System with Telemedicine Capability and Wireless Digital Image Receptor</t>
  </si>
  <si>
    <t>XR-65</t>
  </si>
  <si>
    <t>เครื่องเอกซเรย์ฟลูโอโรสโคปเคลื่อนที่แบบซีอาร์มกำลังไม่เกิน 50 kW ชุดรับภาพชนิดแฟลตพาแนลพร้อมระบบการสร้างภาพแบบ 3 มิติ</t>
  </si>
  <si>
    <t>Mobile C-Arm Fluoroscopy System with Flat Panel Detector and 3D Imaging, Power Output ≤ 50 kW</t>
  </si>
  <si>
    <t>XR-66</t>
  </si>
  <si>
    <t>เครื่องเอกซเรย์ทั่วไปแบบดิจิตอล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t>
  </si>
  <si>
    <t>Digital Ceiling-Mounted General X-ray System, 1,000 mA with Dual Dynamic Digital Image Detectors and Clinical Processing Software</t>
  </si>
  <si>
    <t>XR-67</t>
  </si>
  <si>
    <t>เครื่องเอกซเรย์ฟลูโอโรสโคปเคลื่อนที่แบบซีอาร์มกำลังไม่น้อยกว่า 25 kW ชุดรับภาพชนิดแฟลตพาแนลระบบขับเคลื่อนด้วยมอเตอร์</t>
  </si>
  <si>
    <t>Motorized Mobile C-Arm with Flat Panel Detector 25 kW</t>
  </si>
  <si>
    <t>XR-68</t>
  </si>
  <si>
    <t>เครื่องเอกซเรย์ 360 องศา แบบสามมิติ โดยควบคุมการทำงานด้วยระบบหุ่นยนต์สำหรับช่วยการผ่าตัดศัลยกรรมสมองและกระดูกสันหลัง</t>
  </si>
  <si>
    <t>360 Degree 3D Robotic Control Mobile Imaging for Brain and Spine Surgery</t>
  </si>
  <si>
    <t>XR-69</t>
  </si>
  <si>
    <t>เครื่องเอกซเรย์หลอดเลือดชนิดระนาบเดี่ยวพร้อมหุ่นยนต์ช่วยนำทางสายสวนด้วยระบบแม่เหล็ก</t>
  </si>
  <si>
    <t>Single Plane Digital Subtraction Angiography with  Robotic Magnetic Catheter Guidance Navigation System</t>
  </si>
  <si>
    <t>XR-70</t>
  </si>
  <si>
    <t xml:space="preserve">ชุดแปลงสัญญาณภาพเอกซเรย์เป็นดิจิตอลแบบไร้สาย พร้อมระบบแพทย์ทางไกลและปัญญาประดิษฐ์ </t>
  </si>
  <si>
    <t>Wireless Digital Flat Panel Detector with Telemedicine and Al analysis</t>
  </si>
  <si>
    <t>XR-71</t>
  </si>
  <si>
    <t>เครื่องวัดความหนาแน่นของมวลกระดูกพร้อมโปรแกรมวิเคราะห์ โครงสร้างกระดูกภายใน</t>
  </si>
  <si>
    <t>Bone marrow density with Bone Score System</t>
  </si>
  <si>
    <t>XR-72</t>
  </si>
  <si>
    <t>เครื่องตรวจอวัยวะภายในด้วยคลื่นความถี่สูงพกพาได้ พร้อมระบบ Worklist ระบบอ่านผลการแพทย์ทางไกล และปัญญาประดิษฐ์สำหรับวินิจฉัยเต้านม</t>
  </si>
  <si>
    <t>IM-1</t>
  </si>
  <si>
    <t>เครื่องตรวจพร้อมแผ่นทดสอบระดับแก๊ส สารอิเล็กโตรไลท์ และเมตาโบไลท์ในเลือดแบบ (POCT)</t>
  </si>
  <si>
    <t>Blood gas, electrolyte and metabolyte analysis system, Point-of-care testing type</t>
  </si>
  <si>
    <t>OBS-1</t>
  </si>
  <si>
    <t>เครื่องปั่นเหวี่ยงตกตะกอน ชนิด Swing Out Rotor</t>
  </si>
  <si>
    <t>Centrifuge with Swing out rotor</t>
  </si>
  <si>
    <t>OBS-2</t>
  </si>
  <si>
    <t>อุปกรณ์ตรวจวิเคราะห์เชื้ออสุจิ</t>
  </si>
  <si>
    <t>Chamber for sperm analysisr</t>
  </si>
  <si>
    <t>OBS-3</t>
  </si>
  <si>
    <t>ชุดเครื่องมือ IVF (In Vitro Fertilisation/Fertilization)</t>
  </si>
  <si>
    <t>IVF Equipment Set</t>
  </si>
  <si>
    <t>OBS-4</t>
  </si>
  <si>
    <t>เครื่องดูดสูญญากาศช่วยคลอด</t>
  </si>
  <si>
    <t>vacuum aspirator for childbirth</t>
  </si>
  <si>
    <t>OBS-5</t>
  </si>
  <si>
    <t>กล้องส่องตรวจความผิดปกติของเซลล์มะเร็งปากมดลูก ประมวลผลด้วยระบบ AI อัตโนมัติ</t>
  </si>
  <si>
    <t>Cervical cancer cell abnormality detection camera processed by automatic AI system</t>
  </si>
  <si>
    <t>DR-1</t>
  </si>
  <si>
    <t>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t>
  </si>
  <si>
    <t>Ultrasound-Guided Brachytherapy Planning System for Prostate Cancer with Ultrasound Unit and Accessories</t>
  </si>
  <si>
    <t>FC-1</t>
  </si>
  <si>
    <t>กล้องสเตอริโอ พร้อมกล้อง</t>
  </si>
  <si>
    <t xml:space="preserve"> Stero Microscope with HDMI Camera </t>
  </si>
  <si>
    <t>FC-2</t>
  </si>
  <si>
    <t>ตู้ปลอดเชื้อสำหรับ 2 กล้องสเตอริโอ</t>
  </si>
  <si>
    <t xml:space="preserve"> Laminar Work Station</t>
  </si>
  <si>
    <t>FC-3</t>
  </si>
  <si>
    <t>ชุดกล้องจุลทรรศน์หัวกลับสำหรับการผสมเทียม</t>
  </si>
  <si>
    <t>Inverted Microscope (Manual)</t>
  </si>
  <si>
    <t>FC-4</t>
  </si>
  <si>
    <t>แท่นอุ่นวางตัวอย่าง</t>
  </si>
  <si>
    <t>Stage Warmer</t>
  </si>
  <si>
    <t>FC-5</t>
  </si>
  <si>
    <t>แท่นวางกล้องป้องกันการสั่นสะเทือน</t>
  </si>
  <si>
    <t xml:space="preserve"> Anti Vibration </t>
  </si>
  <si>
    <t>FC-6</t>
  </si>
  <si>
    <t>ชุดจุลหัตถการเพื่อการผสมเทียม</t>
  </si>
  <si>
    <t xml:space="preserve">Micromanipulator with Injector,Holder </t>
  </si>
  <si>
    <t>FC-7</t>
  </si>
  <si>
    <t>เลเซอร์สำหรับเจาะเปลือกตัวอ่อน</t>
  </si>
  <si>
    <t xml:space="preserve">Laser Assisted Hatching </t>
  </si>
  <si>
    <t>FC-8</t>
  </si>
  <si>
    <t>ตู้ปฏิบัติการเพาะเลี้ยวตัวอ่อนมนุษย์</t>
  </si>
  <si>
    <t>IVF Chamber</t>
  </si>
  <si>
    <t>FC-9</t>
  </si>
  <si>
    <t>ตู้เพาะเลี้ยงตัวอ่อน BENCHTOP INCUBATOR (12 เคส) ใช้แก๊ส CO2+N2</t>
  </si>
  <si>
    <t>BENCHTOP INCUBATOR</t>
  </si>
  <si>
    <t>FC-10</t>
  </si>
  <si>
    <t>ตู้บ่มแบบใช้แก๊สคาร์บอนไดออกไซด์ CO2 Incubator ขนาด 80 ลิตร</t>
  </si>
  <si>
    <t>AirJacket</t>
  </si>
  <si>
    <t>FC-11</t>
  </si>
  <si>
    <t>เครื่องวัดแก๊สและอุณหภูมิ</t>
  </si>
  <si>
    <t>TEMP, CO2, O2, Meter</t>
  </si>
  <si>
    <t>FC-12</t>
  </si>
  <si>
    <t>เครื่องวัดปริมาณสารระเหย</t>
  </si>
  <si>
    <t>VOC Meter</t>
  </si>
  <si>
    <t>FC-13</t>
  </si>
  <si>
    <t>ชุดถังแก๊สคาร์บอนไดออกไซด์กับไนโตรเจนเหลว</t>
  </si>
  <si>
    <t>Carbon Dioxide and Liquid Nitrogen Cylinder Set</t>
  </si>
  <si>
    <t>FC-14</t>
  </si>
  <si>
    <t>เครื่องวัดฝุ่นสำหรับห้องคลีนรูม</t>
  </si>
  <si>
    <t>Clean room particle counters</t>
  </si>
  <si>
    <t>FC-15</t>
  </si>
  <si>
    <t>ถังไนโตรเจน 200 ลิตร (Refill)</t>
  </si>
  <si>
    <t>200-Liter Liquid Nitrogen Cylinder</t>
  </si>
  <si>
    <t>ถัง</t>
  </si>
  <si>
    <t>FC-16</t>
  </si>
  <si>
    <t>ถังไนโตรเจน 47 ลิตร</t>
  </si>
  <si>
    <t>47-Liter Liquid Nitrogen Cylinder</t>
  </si>
  <si>
    <t>FC-17</t>
  </si>
  <si>
    <t>ตู้เย็น Medical class with alarm</t>
  </si>
  <si>
    <t>Medical Refrigerators with Alarm Systems</t>
  </si>
  <si>
    <t>FC-18</t>
  </si>
  <si>
    <t>เครื่องหมุนเหวี่ยงตกตะกอน</t>
  </si>
  <si>
    <t>Swing out Centrifuge</t>
  </si>
  <si>
    <t>FC-19</t>
  </si>
  <si>
    <t>เครื่องวิเคราะห์น้ำเชื้ออัตโนมัติ</t>
  </si>
  <si>
    <t>Automate Semen analysis</t>
  </si>
  <si>
    <t>FC-20</t>
  </si>
  <si>
    <t>ตู้บ่มเพาะเชื้อทางชีวภาพ</t>
  </si>
  <si>
    <t>Biological Incubator</t>
  </si>
  <si>
    <t>ครุภัณฑ์ไฟฟ้าและวิทยุ</t>
  </si>
  <si>
    <t>EE-1</t>
  </si>
  <si>
    <t>หม้อแปลงไฟฟ้าขนาดไม่น้อยกว่า 350 kVA</t>
  </si>
  <si>
    <t>Transformer size not less than 350 kVA</t>
  </si>
  <si>
    <t>หม้อ</t>
  </si>
  <si>
    <t>EE-2</t>
  </si>
  <si>
    <t>หม้อแปลงไฟฟ้าขนาดไม่น้อยกว่า 500 kVA</t>
  </si>
  <si>
    <t>Transformer size not less than 500 kVA</t>
  </si>
  <si>
    <t>EE-3</t>
  </si>
  <si>
    <t>หม้อแปลงไฟฟ้าขนาดไม่น้อยกว่า 1,000 kVA</t>
  </si>
  <si>
    <t>Transformer size not less than 1,000 kVA</t>
  </si>
  <si>
    <t>EE-4</t>
  </si>
  <si>
    <t>เครื่องรับส่งวิทยุ ระบบ VHF/FM ชนิดมือถือ 5 วัตต์</t>
  </si>
  <si>
    <t>EE-5</t>
  </si>
  <si>
    <t>เครื่องรับส่งวิทยุ ระบบ VHF/FM ชนิดประจำที่ขนาด 10 วัตต์</t>
  </si>
  <si>
    <t>EE-6</t>
  </si>
  <si>
    <t>เครื่องรับส่งวิทยุ ระบบ VHF/FM ชนิดประจำที่ขนาด 40 วัตต์</t>
  </si>
  <si>
    <t>EE-7</t>
  </si>
  <si>
    <t>เครื่องรับส่งวิทยุ ระบบ VHF/FM ชนิดติดรถยนต์ 25 วัตต์</t>
  </si>
  <si>
    <t>EE-8</t>
  </si>
  <si>
    <t>เครื่องกำเนิดไฟฟ้า (ราคาไม่รวมค่าติดตั้ง) ขนาด 5 กิโลวัตต์</t>
  </si>
  <si>
    <t>EE-9</t>
  </si>
  <si>
    <t>เครื่องกำเนิดไฟฟ้า (ราคาไม่รวมค่าติดตั้ง) ขนาด 10 กิโลวัตต์</t>
  </si>
  <si>
    <t>EE-10</t>
  </si>
  <si>
    <t>เครื่องกำเนิดไฟฟ้า (ราคาไม่รวมค่าติดตั้ง) ขนาด 15 กิโลวัตต์</t>
  </si>
  <si>
    <t>EE-11</t>
  </si>
  <si>
    <t>เครื่องกำเนิดไฟฟ้า (ราคาไม่รวมค่าติดตั้ง) ขนาด 25 กิโลวัตต์</t>
  </si>
  <si>
    <t>EE-12</t>
  </si>
  <si>
    <t>เครื่องกำเนิดไฟฟ้า (ราคาไม่รวมค่าติดตั้ง) ขนาด 50 กิโลวัตต์</t>
  </si>
  <si>
    <t>EE-13</t>
  </si>
  <si>
    <t>เครื่องกำเนิดไฟฟ้า (ราคาไม่รวมค่าติดตั้ง) ขนาด 100 กิโลวัตต์</t>
  </si>
  <si>
    <t>EE-14</t>
  </si>
  <si>
    <t>เครื่องกำเนิดไฟฟ้า (ราคาไม่รวมค่าติดตั้ง) ขนาด 200 กิโลวัตต์</t>
  </si>
  <si>
    <t>EE-15</t>
  </si>
  <si>
    <t>เครื่องกำเนิดไฟฟ้า (ราคาไม่รวมค่าติดตั้ง) ขนาด 300 กิโลวัตต์</t>
  </si>
  <si>
    <t>EE-16</t>
  </si>
  <si>
    <t>เครื่องกำเนิดไฟฟ้า (ราคาไม่รวมค่าติดตั้ง) ขนาด 400 กิโลวัตต์</t>
  </si>
  <si>
    <t>EE-17</t>
  </si>
  <si>
    <t>เครื่องกำเนิดไฟฟ้า (ราคาไม่รวมค่าติดตั้ง) ขนาด 500 กิโลวัตต์</t>
  </si>
  <si>
    <t>EE-18</t>
  </si>
  <si>
    <t>เครื่องกำเนิดไฟฟ้า ขนาดไม่น้อยกว่า 800 กิโลวัตต์</t>
  </si>
  <si>
    <t>generator size not less than 800 kilowatts</t>
  </si>
  <si>
    <t>EE-19</t>
  </si>
  <si>
    <t>เครื่องกำเนิดไฟฟ้า ขนาดไม่น้อยกว่า 1,000 กิโลวัตต์</t>
  </si>
  <si>
    <t>generator size not less than 1000 kilowatts</t>
  </si>
  <si>
    <t>EE-20</t>
  </si>
  <si>
    <t>ระบบผลิตไฟฟ้าจากพลังงานแสงอาทิตย์บนหลังคา (Solar Rooftop) ขนาด 1 เฟส 3 กิโลวัตต์</t>
  </si>
  <si>
    <t>EE-21</t>
  </si>
  <si>
    <t>ระบบผลิตไฟฟ้าจากพลังงานแสงอาทิตย์บนหลังคา (Solar Rooftop) ขนาด 1 เฟส 5 กิโลวัตต์</t>
  </si>
  <si>
    <t>EE-22</t>
  </si>
  <si>
    <t>ระบบผลิตไฟฟ้าจากพลังงานแสงอาทิตย์บนหลังคา (Solar Rooftop) ขนาด 3 เฟส 5 กิโลวัตต์</t>
  </si>
  <si>
    <t>EE-23</t>
  </si>
  <si>
    <t>ระบบผลิตไฟฟ้าจากพลังงานแสงอาทิตย์บนหลังคา (Solar Rooftop) ขนาด 3 เฟส 10 กิโลวัตต์</t>
  </si>
  <si>
    <t>EE-24</t>
  </si>
  <si>
    <t>ระบบผลิตไฟฟ้าจากพลังงานแสงอาทิตย์บนหลังคา (Solar Rooftop) ขนาด 3 เฟส 15 กิโลวัตต์</t>
  </si>
  <si>
    <t>EE-25</t>
  </si>
  <si>
    <t>ระบบผลิตไฟฟ้าจากพลังงานแสงอาทิตย์บนหลังคา (Solar Rooftop) ขนาด 3 เฟส 20 กิโลวัตต์</t>
  </si>
  <si>
    <t>ครุภัณฑ์โรงงาน</t>
  </si>
  <si>
    <t>HT-1</t>
  </si>
  <si>
    <t>กบไฟฟ้า แบบมือถือ ขนาด 5 นิ้ว</t>
  </si>
  <si>
    <t>HT-2</t>
  </si>
  <si>
    <t>เครื่องเจีย/ตัด แบบมือถือ ขนาด 5 นิ้ว</t>
  </si>
  <si>
    <t>HT-3</t>
  </si>
  <si>
    <t>เครื่องเจีย/ตัด แบบมือถือ ขนาด 6 นิ้ว</t>
  </si>
  <si>
    <t>HT-4</t>
  </si>
  <si>
    <t>เครื่องเจีย/ตัด แบบมือถือ ขนาด 7 นิ้ว</t>
  </si>
  <si>
    <t>HT-5</t>
  </si>
  <si>
    <t>เครื่องเจีย/ตัด แบบมือถือ ขนาด 9 นิ้ว</t>
  </si>
  <si>
    <t>HT-6</t>
  </si>
  <si>
    <t>เครื่องขัดกระดาษทราย แบบมือถือ แบบสั่น ขนาด 112 x 225 มิลลิเมตร</t>
  </si>
  <si>
    <t>HT-7</t>
  </si>
  <si>
    <t>เครื่องขัดกระดาษทราย แบบมือถือ แบบสายพาน ขนาด 75 มิลลิเมตร</t>
  </si>
  <si>
    <t>HT-8</t>
  </si>
  <si>
    <t>เครื่องขัดกระดาษทราย แบบมือถือ แบบสายพาน ขนาด 100 มิลลิเมตร</t>
  </si>
  <si>
    <t>HT-9</t>
  </si>
  <si>
    <t>เลื่อยวงเดือนไฟฟ้า แบบมือถือ ขนาด 8 นิ้ว</t>
  </si>
  <si>
    <t>HT-10</t>
  </si>
  <si>
    <t>เลื่อยวงเดือนไฟฟ้า แบบมือถือ ขนาด 9 นิ้ว</t>
  </si>
  <si>
    <t>HT-11</t>
  </si>
  <si>
    <t>เครื่องลอกบัว แบบมือถือ ขนาด 12 มิลลิเมตร</t>
  </si>
  <si>
    <t>HT-12</t>
  </si>
  <si>
    <t>เครื่องตัดเหล็ก แบบมือถือ ขนาด 1.60 มิลลิเมตร</t>
  </si>
  <si>
    <t>HT-13</t>
  </si>
  <si>
    <t>เครื่องตัดเหล็ก แบบมือถือ ขนาด 2.50 มิลลิเมตร</t>
  </si>
  <si>
    <t>HT-14</t>
  </si>
  <si>
    <t>แม่แรงตะเฆ่ ขนาด 2 ตัน</t>
  </si>
  <si>
    <t>HT-15</t>
  </si>
  <si>
    <t>แม่แรงตะเฆ่ ขนาด 3 ตัน</t>
  </si>
  <si>
    <t>HT-16</t>
  </si>
  <si>
    <t>แม่แรงตะเฆ่ ขนาด 5 ตัน</t>
  </si>
  <si>
    <t>HT-17</t>
  </si>
  <si>
    <t>แม่แรงยกกระปุกเกียร์ ขนาด 800 กิโลกรัม</t>
  </si>
  <si>
    <t>HT-18</t>
  </si>
  <si>
    <t>แม่แรงยกกระปุกเกียร์ ขนาด 1,000 กิโลกรัม</t>
  </si>
  <si>
    <t>HT-19</t>
  </si>
  <si>
    <t>แม่แรงยกกระปุกเกียร์ ขนาด 1,200 กิโลกรัม</t>
  </si>
  <si>
    <t>HT-20</t>
  </si>
  <si>
    <t>แม่แรงยกกระปุกเกียร์ ขนาด 1,500 กิโลกรัม</t>
  </si>
  <si>
    <t>HT-21</t>
  </si>
  <si>
    <t>เครื่องบั้งและยืดกุ้งอัตโนมัติ (Shrimp Extending Machine) รุ่น CB-SEN-01 ขนาดกว้าง 820 มิลลิเมตร X ยาว 3,803 มิลลิเมตร X สูง 1,508 มิลลิเมตร / (5,000 – 6,000 ตัว/ชั่วโมง)</t>
  </si>
  <si>
    <t>ฉบับ เม.ย. 61</t>
  </si>
  <si>
    <t>เมษายน 2561 - เมษายน 2569 (8 ปี)</t>
  </si>
  <si>
    <t>HT-25</t>
  </si>
  <si>
    <t>เครื่องมือวัดวิเคราะห์ความสั่นสะเทือนอัจฉริยะ (Smart Vibration Analyzer) V-MER ขนาดเครื่อง 260 มิลลิเมตร x 150 มิลลิเมตร x 70 มิลลิเมตร</t>
  </si>
  <si>
    <t>ฉบับ พ.ค. 64</t>
  </si>
  <si>
    <t>พฤษภาคม 2564 – พฤษภาคม 2572 (8 ปี)</t>
  </si>
  <si>
    <t>ครุภัณฑ์การเกษตร</t>
  </si>
  <si>
    <t>AC-3</t>
  </si>
  <si>
    <t>เครื่องพ่นยา แบบใช้แรงลม ชนิดสะพายหลัง</t>
  </si>
  <si>
    <t>AC-4</t>
  </si>
  <si>
    <t>เครื่องพ่นหมอกควัน</t>
  </si>
  <si>
    <t>AC-5</t>
  </si>
  <si>
    <t>เครื่องชั่ง แบบมีตุ้มถ่วง ขนาด 1,000 กิโลกรัม</t>
  </si>
  <si>
    <t>AC-6</t>
  </si>
  <si>
    <t>เครื่องชั่ง แบบมีตุ้มถ่วง ขนาด 2,000 กิโลกรัม</t>
  </si>
  <si>
    <t>AC-7</t>
  </si>
  <si>
    <t>เครื่องชั่ง แบบดิจิทัล ขนาด 300 กิโลกรัม</t>
  </si>
  <si>
    <t>AC-8</t>
  </si>
  <si>
    <t>เครื่องชั่ง แบบดิจิทัล ขนาด 500 กิโลกรัม</t>
  </si>
  <si>
    <t>AC-9</t>
  </si>
  <si>
    <t>เครื่องชั่ง แบบดิจิทัล ขนาด 1,000 กิโลกรัม</t>
  </si>
  <si>
    <t>AC-10</t>
  </si>
  <si>
    <t>เครื่องชั่ง แบบดิจิทัล ขนาด 2,000 กิโลกรัม</t>
  </si>
  <si>
    <t>AC-11</t>
  </si>
  <si>
    <t>เครื่องสูบน้ำแบบหอยโข่ง เครื่องยนต์เบนซินสูบน้ำได้ 450 ลิตรต่อนาที</t>
  </si>
  <si>
    <t>AC-12</t>
  </si>
  <si>
    <t>เครื่องสูบน้ำแบบหอยโข่ง เครื่องยนต์เบนซินสูบน้ำได้ 1,000 ลิตรต่อนาที ขนาด 5 แรงม้า</t>
  </si>
  <si>
    <t>AC-13</t>
  </si>
  <si>
    <t>เครื่องสูบน้ำแบบหอยโข่ง เครื่องยนต์เบนซินสูบน้ำได้ 1,000 ลิตรต่อนาที ขนาด 7 แรงม้า</t>
  </si>
  <si>
    <t>AC-14</t>
  </si>
  <si>
    <t>เครื่องสูบน้ำแบบหอยโข่ง เครื่องยนต์ดีเซลสูบน้ำได้ 1,750 ลิตรต่อนาที</t>
  </si>
  <si>
    <t>AC-15</t>
  </si>
  <si>
    <t>เครื่องสูบน้ำแบบหอยโข่ง เครื่องยนต์ดีเซลสูบน้ำได้ 3,800 ลิตรต่อนาที</t>
  </si>
  <si>
    <t>AC-16</t>
  </si>
  <si>
    <t>เครื่องสูบน้ำแบบหอยโข่ง มอเตอร์ไฟฟ้าสูบน้ำได้ 450 ลิตรต่อนาที</t>
  </si>
  <si>
    <t>AC-17</t>
  </si>
  <si>
    <t>เครื่องสูบน้ำแบบหอยโข่ง มอเตอร์ไฟฟ้าสูบน้ำได้ 1,130 ลิตรต่อนาที</t>
  </si>
  <si>
    <t>AC-18</t>
  </si>
  <si>
    <t>เครื่องสูบน้ำแบบหอยโข่ง มอเตอร์ไฟฟ้าสูบน้ำได้ 1,500 ลิตรต่อนาที</t>
  </si>
  <si>
    <t>AC-19</t>
  </si>
  <si>
    <t>เครื่องสูบน้ำแบบท่อสูบน้ำพญานาค</t>
  </si>
  <si>
    <t>AC-20</t>
  </si>
  <si>
    <t>รถฟาร์มแทรกเตอร์ ชนิดขับเคลื่อน 4 ล้อ ขนาด 25 แรงม้า</t>
  </si>
  <si>
    <t>AC-21</t>
  </si>
  <si>
    <t>รถฟาร์มแทรกเตอร์ ชนิดขับเคลื่อน 4 ล้อ ขนาด 40 แรงม้า</t>
  </si>
  <si>
    <t>AC-22</t>
  </si>
  <si>
    <t>รถฟาร์มแทรกเตอร์ ชนิดขับเคลื่อน 4 ล้อ ขนาด 85 แรงม้า</t>
  </si>
  <si>
    <t>AC-23</t>
  </si>
  <si>
    <t>รถไถ ขนาด 8 แรงม้า</t>
  </si>
  <si>
    <t>AC-24</t>
  </si>
  <si>
    <t>รถไถ ขนาด 10 แรงม้า</t>
  </si>
  <si>
    <t>AC-26</t>
  </si>
  <si>
    <t>ถังน้ำพลาสติก (Plastic Water Tank) บุญเต็ม : ถังเก็บน้ำพลาสติก วี72 ขนาด 1,000 ลิตร (ถัง+ฝา)</t>
  </si>
  <si>
    <t>ฉบับ ม.ค. 61</t>
  </si>
  <si>
    <t>มกราคม 2561 – มกราคม 2569 (8 ปี)</t>
  </si>
  <si>
    <t>AC-27</t>
  </si>
  <si>
    <t>ถังน้ำพลาสติก (Plastic Water Tank) บุญเต็ม : ถังเก็บน้ำพลาสติก วี72 ขนาด 1,000 ลิตร (ถัง+ฝา) รวมชุดอุปกรณ์สำหรับการตั้งซ้อน 1 ชุด</t>
  </si>
  <si>
    <t>AC-28</t>
  </si>
  <si>
    <t>เครื่องผสมปุ๋ยเคมีอัตโนมัติ (Automatic Fertilizer Blending Machine) รุ่น KPT-512 กำลังการผลิต 12 ตัน/ชั่วโมง</t>
  </si>
  <si>
    <t>AC-29</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</si>
  <si>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</si>
  <si>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Solar pump hybrid Inverter</t>
  </si>
  <si>
    <t>ฉบับ พ.ย. 63</t>
  </si>
  <si>
    <t>กุมภาพันธ์ 2562 - กุมภาพันธ์ 2570 (8 ปี)</t>
  </si>
  <si>
    <t>AC-30</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</si>
  <si>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</si>
  <si>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AC-31</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</si>
  <si>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</si>
  <si>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AC-32</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</si>
  <si>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</si>
  <si>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ฉบับ มี.ค. 62</t>
  </si>
  <si>
    <t>มีนาคม 2562 - มีนาคม 2570 (8 ปี)</t>
  </si>
  <si>
    <t>AC-33</t>
  </si>
  <si>
    <t>โคมไฟสำหรับปลูกพืช (LED Grow Light for Agriculture) LED,L&amp;E#HLLN120RW/1R1W/AC/HR865/36D/32LED/30W</t>
  </si>
  <si>
    <t>โคม</t>
  </si>
  <si>
    <t>ฉบับ เม.ย. 66</t>
  </si>
  <si>
    <t>พฤศจิกายน 2562 – พฤศจิกายน 2570 (8 ปี)</t>
  </si>
  <si>
    <t>AC-34</t>
  </si>
  <si>
    <t>เครื่องสูบน้ำแบบเคลื่อนที่ระบบไฮดรอลิค รุ่น NIT AFP16-Q650H5N1500 ขนาด 16 นิ้ว ประกอบด้วย หัวสูบน้ำ จำนวน 1 หัว และเครื่องยนต์ดีเซลเป็นต้นกำลัง สำหรับขับเคลื่อนระบบไฮดรอลิค</t>
  </si>
  <si>
    <t>ฉบับ เม.ย. 68</t>
  </si>
  <si>
    <t>ตุลาคม 2564 – ตุลาคม 2569 (5 ปี)</t>
  </si>
  <si>
    <t>AC-36</t>
  </si>
  <si>
    <t>เครื่องสูบน้ำแบบเคลื่อนที่ระบบไฮดรอลิค รุ่น NIT AFP24-Q1250H5N800 ขนาด 24 นิ้ว ประกอบด้วย หัวสูบน้ำ จำนวน 1 หัว และเครื่องยนต์ดีเซลเป็นต้นกำลัง สำหรับขับเคลื่อนระบบไฮดรอลิค</t>
  </si>
  <si>
    <t>ฉบับ ธ.ค. 66</t>
  </si>
  <si>
    <t>AC-37</t>
  </si>
  <si>
    <t>เครื่องสูบน้ำแบบเคลื่อนที่ระบบไฮดรอลิค รุ่น NIT AFP24-Q1500H4N800 ขนาด 24 นิ้ว ประกอบด้วย หัวสูบน้ำ จำนวน 1 หัว และเครื่องยนต์ดีเซลเป็นต้นกำลัง สำหรับขับเคลื่อนระบบไฮดรอลิค</t>
  </si>
  <si>
    <t>AC-38</t>
  </si>
  <si>
    <t>รถตัดย่อยอัดไถพรวน รุ่น Fighter 11</t>
  </si>
  <si>
    <t>ฉบับ ต.ค. 64</t>
  </si>
  <si>
    <t>ตุลาคม 2564 – ตุลาคม 2572 (8 ปี)</t>
  </si>
  <si>
    <t>AC-39</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</si>
  <si>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</si>
  <si>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ธันวาคม 2564 – ธันวาคม 2572 (8 ปี)</t>
  </si>
  <si>
    <t>AC-40</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</si>
  <si>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</si>
  <si>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AC-41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</si>
  <si>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</si>
  <si>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AC-42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</si>
  <si>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</si>
  <si>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AC-43</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</si>
  <si>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</si>
  <si>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AC-44</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</si>
  <si>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</si>
  <si>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AC-45</t>
  </si>
  <si>
    <t>เครื่องสีข้าว ซีแอลพี รุ่น ACR-100 PLUS</t>
  </si>
  <si>
    <t>ฉบับ มิ.ย. 65</t>
  </si>
  <si>
    <t>มิถุนายน 2565 - มิถุนายน 2573 (8 ปี)</t>
  </si>
  <si>
    <t>AC-46</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</si>
  <si>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</si>
  <si>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ฉบับ พ.ย. 65</t>
  </si>
  <si>
    <t>พฤศจิกายน 2565 – พฤศจิกายน 2573 (8 ปี)</t>
  </si>
  <si>
    <t>AC-47</t>
  </si>
  <si>
    <t>เครื่องสูบน้ำแบบเคลื่อนที่ระบบไฮดรอลิค รุ่น NIT BTP14-Q900H4N1800 ขนาด 14 นิ้ว ประกอบด้วย หัวสูบน้ำ จำนวน 2 หัว และเครื่องยนต์ดีเซลเป็นต้นกำลัง สำหรับขับเคลื่อนระบบไฮดรอลิค</t>
  </si>
  <si>
    <t>AC-48</t>
  </si>
  <si>
    <t>เครื่องสูบน้ำเคลื่อนที่ระบบไฮดรอลิก แบบตอบสนองต่อระดับน้ำที่เปลี่ยนไปอัตโนมัติ (Hydraulic Mobile Pump with Automatic Water Level Response) รุ่น NIT AFP18-Q850H6N1250</t>
  </si>
  <si>
    <t>เมษายน 2568 – เมษายน 2576 (8 ปี)</t>
  </si>
  <si>
    <t>AC-49</t>
  </si>
  <si>
    <t>เครื่องสูบน้ำเคลื่อนที่ระบบไฮดรอลิก แบบตอบสนองต่อระดับน้ำที่เปลี่ยนไปอัตโนมัติ (Hydraulic Mobile Pump with Automatic Water Level Response) รุ่น NIT AFP24-Q1625H5N800</t>
  </si>
  <si>
    <t>AC-50</t>
  </si>
  <si>
    <t>เครื่องสูบน้ำเคลื่อนที่ระบบไฮดรอลิก แบบตอบสนองต่อระดับน้ำที่เปลี่ยนไปอัตโนมัติ (Hydraulic Mobile Pump with Automatic Water Level Response) รุ่น NIT AFP30-Q2250H5N700</t>
  </si>
  <si>
    <t>AC-51</t>
  </si>
  <si>
    <t>เครื่องสูบน้ำชนิดหอยโข่ง แบบ Horizontal split case ติดตั้งบนเทรลเลอร์ลากจูง (Horizontal split case centrifugal pump with trailer) รุ่น NIT SPC12-Q450H23</t>
  </si>
  <si>
    <t>AC-52</t>
  </si>
  <si>
    <t>เครื่องสูบน้ำชนิดหอยโข่ง แบบ Horizontal split case ติดตั้งบนเทรลเลอร์ลากจูง (Horizontal split case centrifugal pump with trailer) รุ่น NIT SPC14-Q500H30</t>
  </si>
  <si>
    <t>AC-53</t>
  </si>
  <si>
    <t>เครื่องพ่นยา แบบใช้แรงดันของเหลว ชนิดตั้งพื้น ขนาด 4.5 แรงม้า</t>
  </si>
  <si>
    <t>AC-54</t>
  </si>
  <si>
    <t>เครื่องพ่นยา แบบใช้แรงดันของเหลว ชนิดตั้งพื้น ขนาด 5.5 แรงม้า</t>
  </si>
  <si>
    <t>ครุภัณฑ์การศึกษา</t>
  </si>
  <si>
    <t>ED-1</t>
  </si>
  <si>
    <t>จักรพันริมแบบธรรมดา</t>
  </si>
  <si>
    <t>ED-2</t>
  </si>
  <si>
    <t>จักรพันริมแบบอุตสาหกรรม</t>
  </si>
  <si>
    <t>ED-3</t>
  </si>
  <si>
    <t>จักรอุตสาหกรรมแบบเย็บผ้า</t>
  </si>
  <si>
    <t>ED-4</t>
  </si>
  <si>
    <t>จักรอุตสาหกรรมแบบเย็บหนัง</t>
  </si>
  <si>
    <t>ED-5</t>
  </si>
  <si>
    <t>จักรทำลวดลาย</t>
  </si>
  <si>
    <t>ED-6</t>
  </si>
  <si>
    <t>หุ่นจำลองโครงกระดูกมนุษย์ แบบเต็มตัว</t>
  </si>
  <si>
    <t>ครุภัณฑ์คอมพิวเตอร์</t>
  </si>
  <si>
    <t>CCTV-1</t>
  </si>
  <si>
    <t>กล้องโทรทัศน์วงจรปิดชนิดเครือข่าย แบบมุมมองคงที่สำหรับติดตั้งภายในสำนักงาน</t>
  </si>
  <si>
    <t>closed circuit television network type fixed view type for office installation</t>
  </si>
  <si>
    <t>กระทรวงดิจิตัล*</t>
  </si>
  <si>
    <t>ฉบับ มิ.ย. 64</t>
  </si>
  <si>
    <t>CCTV-2</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</si>
  <si>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</si>
  <si>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closed circuit television network type Fixed view type for indoor installation for use in general security and other tasks</t>
  </si>
  <si>
    <t>CCTV-4</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</si>
  <si>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</si>
  <si>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closed circuit television network type Fixed view type for indoor installation, Type 1 for use in security, image analysis and other applications.</t>
  </si>
  <si>
    <t>CCTV-5</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</si>
  <si>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</si>
  <si>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closed circuit television network type Fixed view type for indoor installation, Type 2 for use in security, image analysis and other applications.</t>
  </si>
  <si>
    <t>CCTV-8</t>
  </si>
  <si>
    <t>กล้องโทรทัศน์วงจรปิดชนิดเครือข่าย แบบมุมมองคงที่สำหรับติดตั้งภายนอกสำนักงาน</t>
  </si>
  <si>
    <t>closed circuit television network type fixed view type for outdoor installation</t>
  </si>
  <si>
    <t>CCTV-9</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</si>
  <si>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</si>
  <si>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closed circuit television network type fixed view typefor use in general security and other tasks</t>
  </si>
  <si>
    <t>CCTV-12</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</si>
  <si>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</si>
  <si>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CCTV-13</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</si>
  <si>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</si>
  <si>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CCTV-16</t>
  </si>
  <si>
    <t>กล้องโทรทัศน์วงจรปิดชนิดเครือข่าย แบบปรับมุมมอง สำหรับใช้ในงานรักษาความปลอดภัยทั่วไปและงานอื่นๆ</t>
  </si>
  <si>
    <t>COM-1</t>
  </si>
  <si>
    <t>เครื่องคอมพิวเตอร์แม่ข่าย แบบที่ 1</t>
  </si>
  <si>
    <t>COM-2</t>
  </si>
  <si>
    <t>เครื่องคอมพิวเตอร์แม่ข่าย แบบที่ 2</t>
  </si>
  <si>
    <t>COM-9</t>
  </si>
  <si>
    <t>เครื่องคอมพิวเตอร์ ALL In One สำหรับงานสำนักงาน</t>
  </si>
  <si>
    <t>COM-10</t>
  </si>
  <si>
    <t>เครื่องคอมพิวเตอร์ ALL In One สำหรับงานประมวลผล</t>
  </si>
  <si>
    <t>COM-11</t>
  </si>
  <si>
    <t>เครื่องคอมพิวเตอร์โน้ตบุ๊ก สำหรับงานสำนักงาน</t>
  </si>
  <si>
    <t>COM-12</t>
  </si>
  <si>
    <t>เครื่องคอมพิวเตอร์โน้ตบุ๊ก สำหรับงานประมวลผล</t>
  </si>
  <si>
    <t>COM-13</t>
  </si>
  <si>
    <t>คอมพิวเตอร์แท็ปเล็ต แบบที่ 1</t>
  </si>
  <si>
    <t>COM-14</t>
  </si>
  <si>
    <t>คอมพิวเตอร์แท็ปเล็ต แบบที่ 2</t>
  </si>
  <si>
    <t>COM-15</t>
  </si>
  <si>
    <t>เครื่องพิมพ์ชนิด Dot Matrix Printer แบบแคร่สั้น</t>
  </si>
  <si>
    <t>COM-16</t>
  </si>
  <si>
    <t>เครื่องพิมพ์ชนิด Dot Matrix Printer แบบแคร่ยาว</t>
  </si>
  <si>
    <t>COM-17</t>
  </si>
  <si>
    <t>เครื่องพิมพ์แบบฉีดหมึกพร้อมติดตั้งถังหมึกพิมพ์ (Ink Tank Printer)</t>
  </si>
  <si>
    <t>COM-19</t>
  </si>
  <si>
    <t>เครื่องพิมพ์เลเซอร์ หรือ LED ขาวดำ (18 หน้า/นาที)</t>
  </si>
  <si>
    <t>COM-21</t>
  </si>
  <si>
    <t>เครื่องพิมพ์เลเซอร์ หรือ LED ขาวดำ ชนิด Network แบบที่ 2 (38 หน้า/นาที)</t>
  </si>
  <si>
    <t>COM-24</t>
  </si>
  <si>
    <t>เครื่องพิมพ์เลเซอร์ หรือ LED ขาวดำ ชนิด Network สำหรับกระดาษขนาด A3</t>
  </si>
  <si>
    <t>COM-25</t>
  </si>
  <si>
    <t>เครื่องพิมพ์ Multifunction แบบฉีดหมึก พร้อมติดตั้งถังหมึกพิมพ์ (Ink Tank Printer)</t>
  </si>
  <si>
    <t>COM-26</t>
  </si>
  <si>
    <t>เครื่องพิมพ์ Multifunction เลเซอร์ หรือ LED ขาวดำ</t>
  </si>
  <si>
    <t>COM-27</t>
  </si>
  <si>
    <t>เครื่องพิมพ์ Multifunction เลเซอร์ หรือ LED สี</t>
  </si>
  <si>
    <t>COM-28</t>
  </si>
  <si>
    <t>เครื่องพิมพ์วัตถุ 3 มิติ</t>
  </si>
  <si>
    <t>COM-29</t>
  </si>
  <si>
    <t>เครื่องพิมพ์แบบใช้ความร้อน (Thermal Printer)</t>
  </si>
  <si>
    <t>COM-31</t>
  </si>
  <si>
    <t>สแกนเนอร์ สำหรับงานเก็บเอกสารระดับศูนย์บริการ แบบที่ 1</t>
  </si>
  <si>
    <t>COM-32</t>
  </si>
  <si>
    <t>สแกนเนอร์ สำหรับงานเก็บเอกสารระดับศูนย์บริการ แบบที่ 2</t>
  </si>
  <si>
    <t>COM-33</t>
  </si>
  <si>
    <t>สแกนเนอร์ สำหรับงานเก็บเอกสารระดับศูนย์บริการ แบบที่ 3</t>
  </si>
  <si>
    <t>COM-34</t>
  </si>
  <si>
    <t>เครื่องสำรองไฟฟ้า ขนาด 800 VA</t>
  </si>
  <si>
    <t>COM-36</t>
  </si>
  <si>
    <t>เครื่องสำรองไฟฟ้า ขนาด 2 kVA</t>
  </si>
  <si>
    <t>COM-37</t>
  </si>
  <si>
    <t>เครื่องสำรองไฟฟ้า ขนาด 3 kVA</t>
  </si>
  <si>
    <t>COM-38</t>
  </si>
  <si>
    <t>เครื่องสำรองไฟฟ้า ขนาด 10 kVA (ระบบไฟฟ้า 3 เฟส)</t>
  </si>
  <si>
    <t>COM-39</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</si>
  <si>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</si>
  <si>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COM-40</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</si>
  <si>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</si>
  <si>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COM-42</t>
  </si>
  <si>
    <t>ตู้สำหรับจัดเก็บเครื่องคอมพิวเตอร์และอุปกรณ์ แบบที่ 1 (ขนาด 36U)</t>
  </si>
  <si>
    <t>COM-43</t>
  </si>
  <si>
    <t>ตู้สำหรับจัดเก็บเครื่องคอมพิวเตอร์และอุปกรณ์ แบบที่ 2 (ขนาด 42U)</t>
  </si>
  <si>
    <t>COM-45</t>
  </si>
  <si>
    <t>อุปกรณ์กระจายสัญญาณ (L2 Switch) ขนาด 16 ช่อง</t>
  </si>
  <si>
    <t>COM-46</t>
  </si>
  <si>
    <t>อุปกรณ์กระจายสัญญาณ (L2 Switch) ขนาด 24 ช่อง แบบที่ 1</t>
  </si>
  <si>
    <t>COM-47</t>
  </si>
  <si>
    <t>อุปกรณ์กระจายสัญญาณ (L2 Switch) ขนาด 24 ช่อง แบบที่ 2</t>
  </si>
  <si>
    <t>COM-48</t>
  </si>
  <si>
    <t>อุปกรณ์กระจายสัญญาณ (L3 Switch) ขนาด 24 ช่อง</t>
  </si>
  <si>
    <t>COM-49</t>
  </si>
  <si>
    <t>อุปกรณ์กระจายสัญญาณไร้สาย (Access Point) แบบที่ 1</t>
  </si>
  <si>
    <t>Access Point</t>
  </si>
  <si>
    <t>COM-50</t>
  </si>
  <si>
    <t>อุปกรณ์กระจายสัญญาณไร้สาย (Access Point) แบบที่ 2</t>
  </si>
  <si>
    <t>COM-51</t>
  </si>
  <si>
    <t>อุปกรณ์ค้นหาเส้นทางเครือข่าย (Router)</t>
  </si>
  <si>
    <t>Router</t>
  </si>
  <si>
    <t>COM-53</t>
  </si>
  <si>
    <t>อุปกรณ์กระจายการทำงานสำหรับเครื่องคอมพิวเตอร์แม่ข่าย (Server Load Balancer)</t>
  </si>
  <si>
    <t>Server Load Balancer</t>
  </si>
  <si>
    <t>COM-54</t>
  </si>
  <si>
    <t>อุปกรณ์กระจายสัญญาณแบบ PoE (PoE L2 Switch) ขนาด 8 ช่อง</t>
  </si>
  <si>
    <t>PoE L2 Switch</t>
  </si>
  <si>
    <t>COM-55</t>
  </si>
  <si>
    <t>อุปกรณ์กระจายสัญญาณแบบ PoE (PoE L2 Switch) ขนาด 16 ช่อง</t>
  </si>
  <si>
    <t>COM-57</t>
  </si>
  <si>
    <t>อุปกรณ์จัดเก็บ Log File ระบบเครือข่าย แบบที่ 1</t>
  </si>
  <si>
    <t>COM-58</t>
  </si>
  <si>
    <t>อุปกรณ์จัดเก็บ Log File ระบบเครือข่าย แบบที่ 2</t>
  </si>
  <si>
    <t>COM-59</t>
  </si>
  <si>
    <t>อุปกรณ์จัดเก็บ Log File ระบบเครือข่าย แบบที่ 3</t>
  </si>
  <si>
    <t>COM-60</t>
  </si>
  <si>
    <t>อุปกรณ์บันทึกภาพผ่านเครือข่าย (Network Video Recorder) แบบ 8 ช่อง</t>
  </si>
  <si>
    <t>Network Video Recorder</t>
  </si>
  <si>
    <t>COM-61</t>
  </si>
  <si>
    <t>อุปกรณ์บันทึกภาพผ่านเครือข่าย (Network Video Recorder) แบบ 16 ช่อง</t>
  </si>
  <si>
    <t>COM-62</t>
  </si>
  <si>
    <t>อุปกรณ์บันทึกภาพผ่านเครือข่าย (Network Video Recorder) แบบ 32 ช่อง</t>
  </si>
  <si>
    <t>COM-63</t>
  </si>
  <si>
    <t>อุปกรณ์ป้องกันเครือข่าย (Next Generation Firewall) แบบที่ 1</t>
  </si>
  <si>
    <t>Next Generation Firewall</t>
  </si>
  <si>
    <t>COM-64</t>
  </si>
  <si>
    <t>อุปกรณ์ป้องกันเครือข่าย (Next Generation Firewall) แบบที่ 2</t>
  </si>
  <si>
    <t>COM-65</t>
  </si>
  <si>
    <t>อุปกรณ์ป้องกันและตรวจจับการบุกรุก (Intrusion Prevention System) แบบที่ 1</t>
  </si>
  <si>
    <t>Intrusion Prevention System</t>
  </si>
  <si>
    <t>COM-66</t>
  </si>
  <si>
    <t>อุปกรณ์ป้องกันและตรวจจับการบุกรุก (Intrusion Prevention System) แบบที่ 2</t>
  </si>
  <si>
    <t>COM-68</t>
  </si>
  <si>
    <t>อุปกรณ์ป้องกันการบุกรุกจดหมายอิเล็กทรอนิกส์ (e-Mail Security)</t>
  </si>
  <si>
    <t>e-Mail Security</t>
  </si>
  <si>
    <t>COM-69</t>
  </si>
  <si>
    <t>อุปกรณ์อ่านบัตรแบบอเนกประสงค์ (Smart Card Reader)</t>
  </si>
  <si>
    <t>Smart Card Reader</t>
  </si>
  <si>
    <t>COM-72</t>
  </si>
  <si>
    <t>อุปกรณ์สําหรับจัดเก็บข้อมูลแบบ NAS</t>
  </si>
  <si>
    <t>COM-73</t>
  </si>
  <si>
    <t>อุปกรณ์สําหรับจัดเก็บข้อมูลแบบ SAN</t>
  </si>
  <si>
    <t>COM-74</t>
  </si>
  <si>
    <t>ชุดโปรแกรมจัดการสำนักงาน แบบที่ 1 ที่มีลิขสิทธิ์ถูกต้องตามกฎหมาย</t>
  </si>
  <si>
    <t>COM-75</t>
  </si>
  <si>
    <t>ชุดโปรแกรมจัดการสำนักงาน แบบที่ 2 ที่มีลิขสิทธิ์ถูกต้องตามกฎหมาย</t>
  </si>
  <si>
    <t>COM-76</t>
  </si>
  <si>
    <t>ชุดโปรแกรมจัดการสำนักงาน แบบที่ 3 ที่มีลิขสิทธิ์ถูกต้องตามกฎหมาย</t>
  </si>
  <si>
    <t>COM-77</t>
  </si>
  <si>
    <t>ซอฟต์แวร์บริหารจัดการคิว สำหรับสถานพยาบาล (Hospital Queue Management System) ขนาด S (ไม่เกิน 200 คิวต่อวัน)</t>
  </si>
  <si>
    <t>License/แผนก/ปี</t>
  </si>
  <si>
    <t>มกราคม 2563 - มกราคม 2571 (8 ปี)</t>
  </si>
  <si>
    <t>COM-78</t>
  </si>
  <si>
    <t>ซอฟต์แวร์บริหารจัดการคิว สำหรับสถานพยาบาล (Hospital Queue Management System) ขนาด M (ไม่เกิน 500 คิวต่อวัน)</t>
  </si>
  <si>
    <t>COM-79</t>
  </si>
  <si>
    <t>ซอฟต์แวร์บริหารจัดการคิว สำหรับสถานพยาบาล (Hospital Queue Management System) ขนาด L (ไม่เกิน 1,000 คิวต่อวัน)</t>
  </si>
  <si>
    <t>COM-80</t>
  </si>
  <si>
    <t>ซอฟต์แวร์บริหารจัดการคิว สำหรับสถานพยาบาล (Hospital Queue Management System) ขนาด XL (ไม่จำกัดจำนวนคิวต่อวัน)</t>
  </si>
  <si>
    <t>COM-81</t>
  </si>
  <si>
    <t>ซอฟต์แวร์บริหารจัดการอุปกรณ์เครือข่ายสารสนเทศ (IT Infrastructure Management System) NetkaView Network Manager X Appliance Express Edition (30 Node, 750 Interface)</t>
  </si>
  <si>
    <t>หน่วย</t>
  </si>
  <si>
    <t>มิถุนายน 2564 - มิถุนายน 2572 (8 ปี)</t>
  </si>
  <si>
    <t>COM-82</t>
  </si>
  <si>
    <t>ซอฟต์แวร์บริหารจัดการอุปกรณ์เครือข่ายสารสนเทศ (IT Infrastructure Management System) NetkaView Network Manager X Appliance Express Edition (50 Node, 1.25K Interface)</t>
  </si>
  <si>
    <t>COM-83</t>
  </si>
  <si>
    <t>ซอฟต์แวร์บริหารจัดการอุปกรณ์เครือข่ายสารสนเทศ (IT Infrastructure Management System) NetkaView Network Manager X Appliance Express Edition (100 Node, 2.5K Interface)</t>
  </si>
  <si>
    <t>COM-84</t>
  </si>
  <si>
    <t>ซอฟต์แวร์บริหารจัดการอุปกรณ์เครือข่ายสารสนเทศ (IT Infrastructure Management System) NetkaView Network Manager X Appliance Express Edition (150 Node, 3.75 K Interface)</t>
  </si>
  <si>
    <t>COM-85</t>
  </si>
  <si>
    <t>ซอฟต์แวร์บริหารจัดการอุปกรณ์เครือข่ายสารสนเทศ (IT Infrastructure Management System) NetkaView Network Manager X Appliance Express Edition (200 Node, 5K Interface)</t>
  </si>
  <si>
    <t>COM-86</t>
  </si>
  <si>
    <t>ซอฟต์แวร์บริหารจัดการอุปกรณ์เครือข่ายสารสนเทศ (IT Infrastructure Management System) NetkaView Network Manager X Appliance Express Edition (250 Node, 6.25K Interface)</t>
  </si>
  <si>
    <t>COM-87</t>
  </si>
  <si>
    <t>ซอฟต์แวร์บริหารจัดการอุปกรณ์เครือข่ายสารสนเทศ (IT Infrastructure Management System) NetkaView Network Manager X Appliance Express Edition (300 Node, 7.5K Interface)</t>
  </si>
  <si>
    <t>COM-88</t>
  </si>
  <si>
    <t>ซอฟต์แวร์บริหารจัดการอุปกรณ์เครือข่ายสารสนเทศ (IT Infrastructure Management System) NetkaView Network Manager X Appliance Express Edition (400 Node, 10K Interface)</t>
  </si>
  <si>
    <t>COM-89</t>
  </si>
  <si>
    <t>ซอฟต์แวร์บริหารจัดการอุปกรณ์เครือข่ายสารสนเทศ (IT Infrastructure Management System) NetkaView Network Manager X Appliance Express Edition (500 Node, 12.5K Interface)</t>
  </si>
  <si>
    <t>COM-90</t>
  </si>
  <si>
    <t>ซอฟต์แวร์บริหารจัดการอุปกรณ์เครือข่ายสารสนเทศ (IT Infrastructure Management System) NetkaView Network Manager X Appliance Express Edition (750 Node, 37.5K Interface)</t>
  </si>
  <si>
    <t>COM-91</t>
  </si>
  <si>
    <t>ซอฟต์แวร์บริหารจัดการอุปกรณ์เครือข่ายสารสนเทศ (IT Infrastructure Management System) NetkaView Network Manager X Appliance Express Edition (1,000 Node, 50K Interface)</t>
  </si>
  <si>
    <t>COM-92</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</si>
  <si>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</si>
  <si>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1 User/Year</t>
  </si>
  <si>
    <t>ฉบับ มี.ค. 66</t>
  </si>
  <si>
    <t>มีนาคม 2566 – มีนาคม 2570 (4 ปี)</t>
  </si>
  <si>
    <t>COM-93</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</si>
  <si>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</si>
  <si>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COM-94</t>
  </si>
  <si>
    <t>เครื่องพิมพ์เลเซอร์ หรือ LED สี ชนิด Network แบบที่ 1 (20 หน้า/นาที)</t>
  </si>
  <si>
    <t>COM-95</t>
  </si>
  <si>
    <t>ชุดโปรแกรมป้องกันไวรัส</t>
  </si>
  <si>
    <t>ต่อปี</t>
  </si>
  <si>
    <t>COM-96</t>
  </si>
  <si>
    <t>เครื่องคอมพิวเตอร์แม่ข่าย แบบที่ 3</t>
  </si>
  <si>
    <t>COM-97</t>
  </si>
  <si>
    <t>เครื่องคอมพิวเตอร์ สำหรับงานสำนักงาน (จอแสดงภาพขนาดไม่น้อยกว่า 23 นิ้ว)</t>
  </si>
  <si>
    <t>COM-98</t>
  </si>
  <si>
    <t>เครื่องคอมพิวเตอร์ สำหรับงานประมวลผล แบบที่ 1 (จอแสดงภาพขนาดไม่น้อยกว่า 23 นิ้ว)</t>
  </si>
  <si>
    <t>COM-99</t>
  </si>
  <si>
    <t>เครื่องคอมพิวเตอร์ สำหรับงานประมวลผล แบบที่ 2 (จอแสดงภาพขนาดไม่น้อยกว่า 27 นิ้ว)</t>
  </si>
  <si>
    <t>COM-100</t>
  </si>
  <si>
    <t>เครื่องคอมพิวเตอร์โน้ตบุ๊ก สำหรับรองรับงานในด้านปัญญาประดิษฐ์</t>
  </si>
  <si>
    <t>COM-101</t>
  </si>
  <si>
    <t>เครื่องคอมพิวเตอร์โน้ตบุ๊ก สำหรับการใช้งานผ่านเว็บเบราว์เซอร์และบริการออนไลน์เป็นหลัก แบบที่ 1</t>
  </si>
  <si>
    <t>COM-102</t>
  </si>
  <si>
    <t>เครื่องคอมพิวเตอร์โน้ตบุ๊ก สำหรับการใช้งานผ่านเว็บเบราว์เซอร์และบริการออนไลน์เป็นหลัก แบบที่ 2</t>
  </si>
  <si>
    <t>COM-103</t>
  </si>
  <si>
    <t>เครื่องพิมพ์เลเซอร์ หรือ LED ขาวดำ ชนิด Network แบบที่ 1 (33 หน้า/นาที)</t>
  </si>
  <si>
    <t>COM-104</t>
  </si>
  <si>
    <t>เครื่องพิมพ์เลเซอร์ หรือ LED สี ชนิด Network แบบที่ 2 (31 หน้า/นาที)</t>
  </si>
  <si>
    <t>COM-105</t>
  </si>
  <si>
    <t>จอแสดงภาพขนาดไม่น้อยกว่า 23 นิ้ว</t>
  </si>
  <si>
    <t>จอ</t>
  </si>
  <si>
    <t>COM-106</t>
  </si>
  <si>
    <t>จอแสดงภาพขนาดไม่น้อยกว่า 27 นิ้ว</t>
  </si>
  <si>
    <t>COM-107</t>
  </si>
  <si>
    <t>เครื่องสำรองไฟฟ้า ขนาด 1.5 kVA</t>
  </si>
  <si>
    <t>ครุภัณฑ์โฆษณาและเผยแพร่</t>
  </si>
  <si>
    <t>AP-1</t>
  </si>
  <si>
    <t>จอรับภาพ ชนิดมอเตอร์ไฟฟ้า ขนาดเส้นทแยงมุม 100 นิ้ว</t>
  </si>
  <si>
    <t>AP-2</t>
  </si>
  <si>
    <t>จอรับภาพ ชนิดมอเตอร์ไฟฟ้า ขนาดเส้นทแยงมุม 120 นิ้ว</t>
  </si>
  <si>
    <t>AP-3</t>
  </si>
  <si>
    <t>จอรับภาพ ชนิดมอเตอร์ไฟฟ้า ขนาดเส้นทแยงมุม 150 นิ้ว</t>
  </si>
  <si>
    <t>AP-4</t>
  </si>
  <si>
    <t>จอรับภาพ ชนิดมอเตอร์ไฟฟ้า ขนาดเส้นทแยงมุม 180 นิ้ว</t>
  </si>
  <si>
    <t>AP-5</t>
  </si>
  <si>
    <t>จอรับภาพ ชนิดมอเตอร์ไฟฟ้า ขนาดเส้นทแยงมุม 200 นิ้ว</t>
  </si>
  <si>
    <t>AP-6</t>
  </si>
  <si>
    <t>เครื่องฉายภาพ 3 มิติ</t>
  </si>
  <si>
    <t>AP-7</t>
  </si>
  <si>
    <t>เครื่องมัลติมีเดียโปรเจคเตอร์ ระดับ XGA ขนาด 3,000 ANSI Lumens</t>
  </si>
  <si>
    <t>AP-8</t>
  </si>
  <si>
    <t>เครื่องมัลติมีเดียโปรเจคเตอร์ ระดับ XGA ขนาด 3,500 ANSI Lumens</t>
  </si>
  <si>
    <t>AP-9</t>
  </si>
  <si>
    <t>เครื่องมัลติมีเดียโปรเจคเตอร์ ระดับ XGA ขนาด 4,000 ANSI Lumens</t>
  </si>
  <si>
    <t>AP-10</t>
  </si>
  <si>
    <t>เครื่องมัลติมีเดียโปรเจคเตอร์ ระดับ XGA ขนาด 4,500 ANSI Lumens</t>
  </si>
  <si>
    <t>AP-11</t>
  </si>
  <si>
    <t>เครื่องมัลติมีเดียโปรเจคเตอร์ ระดับ XGA ขนาด 5,000 ANSI Lumens</t>
  </si>
  <si>
    <t>AP-12</t>
  </si>
  <si>
    <t>โทรทัศน์ แอล อี ดี (LED TV) แบบ Smart TV ระดับความละเอียดจอภาพ 3840 x 2160 พิกเซล ขนาด 43 นิ้ว</t>
  </si>
  <si>
    <t>AP-13</t>
  </si>
  <si>
    <t>โทรทัศน์ แอล อี ดี (LED TV) แบบ Smart TV ระดับความละเอียดจอภาพ 3840 x 2160 พิกเซล ขนาด 50 นิ้ว</t>
  </si>
  <si>
    <t>AP-14</t>
  </si>
  <si>
    <t>โทรทัศน์ แอล อี ดี (LED TV) แบบ Smart TV ระดับความละเอียดจอภาพ 3840 x 2160 พิกเซล ขนาด 55 นิ้ว</t>
  </si>
  <si>
    <t>AP-15</t>
  </si>
  <si>
    <t>โทรทัศน์ แอล อี ดี (LED TV) แบบ Smart TV ระดับความละเอียดจอภาพ 3840 x 2160 พิกเซล ขนาด 65 นิ้ว</t>
  </si>
  <si>
    <t>AP-17</t>
  </si>
  <si>
    <t>โทรทัศน์ แอล อี ดี (LED TV) แบบ Smart TV ระดับความละเอียดจอภาพ 3840 x 2160 พิกเซล ขนาด 75 นิ้ว</t>
  </si>
  <si>
    <t>ครุภัณฑ์งานบ้านงานครัว</t>
  </si>
  <si>
    <t>HK-1</t>
  </si>
  <si>
    <t>ตู้เย็น ขนาด 5 คิวบิกฟุต</t>
  </si>
  <si>
    <t>HK-2</t>
  </si>
  <si>
    <t>ตู้เย็น ขนาด 7 คิวบิกฟุต</t>
  </si>
  <si>
    <t>HK-3</t>
  </si>
  <si>
    <t>ตู้เย็น ขนาด 9 คิวบิกฟุต</t>
  </si>
  <si>
    <t>HK-4</t>
  </si>
  <si>
    <t>ตู้เย็น ขนาด 13 คิวบิกฟุต</t>
  </si>
  <si>
    <t>HK-5</t>
  </si>
  <si>
    <t>ตู้เย็น ขนาด 16 คิวบิกฟุต</t>
  </si>
  <si>
    <t>HK-6</t>
  </si>
  <si>
    <t>ตู้แช่อาหาร ขนาด 20 คิวบิกฟุต</t>
  </si>
  <si>
    <t>HK-7</t>
  </si>
  <si>
    <t>ตู้แช่อาหาร ขนาด 32 คิวบิกฟุต</t>
  </si>
  <si>
    <t>HK-8</t>
  </si>
  <si>
    <t>ตู้แช่อาหาร ขนาด 45 คิวบิกฟุต</t>
  </si>
  <si>
    <t>HK-9</t>
  </si>
  <si>
    <t>เครื่องทำน้ำเย็น แบบต่อท่อ ขนาด 1 ก๊อก</t>
  </si>
  <si>
    <t>HK-10</t>
  </si>
  <si>
    <t>เครื่องทำน้ำเย็น แบบต่อท่อ ขนาด 2 ก๊อก</t>
  </si>
  <si>
    <t>HK-11</t>
  </si>
  <si>
    <t>เครื่องทำน้ำร้อน-น้ำเย็น แบบต่อท่อ ขนาด 2 ก๊อก</t>
  </si>
  <si>
    <t>HK-12</t>
  </si>
  <si>
    <t>เครื่องตัดหญ้า แบบข้อแข็ง</t>
  </si>
  <si>
    <t>HK-13</t>
  </si>
  <si>
    <t>เครื่องตัดหญ้า แบบข้ออ่อน</t>
  </si>
  <si>
    <t>HK-14</t>
  </si>
  <si>
    <t>เครื่องตัดหญ้า แบบเข็น</t>
  </si>
  <si>
    <t>HK-15</t>
  </si>
  <si>
    <t>เครื่องตัดหญ้า แบบล้อจักรยาน</t>
  </si>
  <si>
    <t>HK-16</t>
  </si>
  <si>
    <t>เครื่องตัดหญ้า แบบนั่งขับ</t>
  </si>
  <si>
    <t>HK-17</t>
  </si>
  <si>
    <t>เครื่องตัดแต่งพุ่มไม้ ขนาด 22 นิ้ว</t>
  </si>
  <si>
    <t>HK-18</t>
  </si>
  <si>
    <t>เครื่องตัดแต่งพุ่มไม้ ขนาด 29.5 นิ้ว</t>
  </si>
  <si>
    <t>HK-19</t>
  </si>
  <si>
    <t>เตาแก๊ส</t>
  </si>
  <si>
    <t>เตา</t>
  </si>
  <si>
    <t>HK-20</t>
  </si>
  <si>
    <t>เตาอบไมโครเวฟ</t>
  </si>
  <si>
    <t>HK-21</t>
  </si>
  <si>
    <t>เครื่องดูดควัน</t>
  </si>
  <si>
    <t>HK-22</t>
  </si>
  <si>
    <t>เครื่องซักผ้า แบบธรรมดา ขนาด 15 กิโลกรัม</t>
  </si>
  <si>
    <t>HK-23</t>
  </si>
  <si>
    <t>เครื่องซักผ้า แบบอุตสาหกรรม ขนาด 50 ปอนด์</t>
  </si>
  <si>
    <t>HK-24</t>
  </si>
  <si>
    <t>เครื่องซักผ้า แบบอุตสาหกรรม ขนาด 125 ปอนด์</t>
  </si>
  <si>
    <t>HK-25</t>
  </si>
  <si>
    <t>เครื่องซักผ้า แบบอุตสาหกรรม ขนาด 200 ปอนด์</t>
  </si>
  <si>
    <t>HK-26</t>
  </si>
  <si>
    <t>เครื่องอบผ้า ขนาด 50 ปอนด์</t>
  </si>
  <si>
    <t>HK-27</t>
  </si>
  <si>
    <t>เครื่องอบผ้า ขนาด 100 ปอนด์</t>
  </si>
  <si>
    <t>HK-28</t>
  </si>
  <si>
    <t>เครื่องอบผ้า ขนาด 200 ปอนด์</t>
  </si>
  <si>
    <t>HK-29</t>
  </si>
  <si>
    <t>เครื่องรีดผ้าแบบลูกกลิ้งขนาด 2 เมตร</t>
  </si>
  <si>
    <t>2 meter roller ironing machine</t>
  </si>
  <si>
    <t>ครุภัณฑ์ยานพาหนะ</t>
  </si>
  <si>
    <t>VM-9</t>
  </si>
  <si>
    <t>รถพยาบาลเคลือบสารต้านจุลชีพ รองรับชุดปฏิบัติการฉุกเฉินระดับต้น (Basic Life support unit : BLS)</t>
  </si>
  <si>
    <t>Basic Life support unit : BLS</t>
  </si>
  <si>
    <t>สิงหาคม 2563 – สิงหาคม 2571 (8 ปี)</t>
  </si>
  <si>
    <t>VM-10</t>
  </si>
  <si>
    <t>รถพยาบาลเคลือบสารต้านจุลชีพ รองรับชุดปฏิบัติการฉุกเฉินระดับสูง (Advanced Life support unit : ALS)</t>
  </si>
  <si>
    <t>Advanced Life support unit : ALS</t>
  </si>
  <si>
    <t>VM-11</t>
  </si>
  <si>
    <t>รถพยาบาลโครงสร้างปลอดภัยเคลือบสารต้านจุลชีพ รองรับชุดปฏิบัติการฉุกเฉินระดับสูง (Advanced Life support unit : ALS)</t>
  </si>
  <si>
    <t>VM-13</t>
  </si>
  <si>
    <t>รถพยาบาลขั้นพื้นฐาน</t>
  </si>
  <si>
    <t>basic ambulance</t>
  </si>
  <si>
    <t>VM-14</t>
  </si>
  <si>
    <t>รถพยาบาลพร้อมอุปกรณ์ช่วยชีวิตชั้นสูง</t>
  </si>
  <si>
    <t>Ambulance with advanced life support equipment</t>
  </si>
  <si>
    <t>VM-15</t>
  </si>
  <si>
    <t>รถบริจาคโลหิต</t>
  </si>
  <si>
    <t>blood donation car</t>
  </si>
  <si>
    <t>VM-16</t>
  </si>
  <si>
    <t>รถเอกซเรย์เคลื่อนที่แบบภาพดิจิตอล</t>
  </si>
  <si>
    <t>Mobile Digital X-Ray Vehicle</t>
  </si>
  <si>
    <t>VM-17</t>
  </si>
  <si>
    <t>รถวินิจฉัยและรักษาภาวะวิกฤตทางหลอดเลือดสมองเคลื่อนที่</t>
  </si>
  <si>
    <t>Mobile Stroke Unit</t>
  </si>
  <si>
    <t>VM-19</t>
  </si>
  <si>
    <t>รถพยาบาลโครงสร้างปลอดภัยเคลือบสารต้านจุลชีพ (ขนาดใหญ่) รองรับชุดปฏิบัติการฉุกเฉินระดับสูง (Advanced Life support unit : ALS)</t>
  </si>
  <si>
    <t>ฉบับ มิ.ย. 66</t>
  </si>
  <si>
    <t>กันยายน 2565 – สิงหาคม 2571 (5 ปี 11 เดือน)</t>
  </si>
  <si>
    <t>VM-20</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</si>
  <si>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</si>
  <si>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</si>
  <si>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VM-21</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</si>
  <si>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</si>
  <si>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</si>
  <si>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VM-22</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</si>
  <si>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</si>
  <si>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</si>
  <si>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VM-23</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</si>
  <si>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</si>
  <si>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</si>
  <si>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VM-24</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</si>
  <si>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</si>
  <si>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</si>
  <si>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VM-25</t>
  </si>
  <si>
    <t>รถยนต์ดัดแปลงโมบายสโตรก สำหรับรักษาผู้ป่วยโรคหลอดเลือดสมองเฉียบพลัน รุ่น Professional</t>
  </si>
  <si>
    <t>Mobile Stroke Unit – Stroke One Stop (MSU - SOS)</t>
  </si>
  <si>
    <t>Unit</t>
  </si>
  <si>
    <t>ฉบับ ส.ค. 67</t>
  </si>
  <si>
    <t>สิงหาคม 2567 – สิงหาคม 2571 (4 ปี)</t>
  </si>
  <si>
    <t>VM-26</t>
  </si>
  <si>
    <t>รถยนต์ดัดแปลงโมบายสโตรก สำหรับรักษาผู้ป่วยโรคหลอดเลือดสมองเฉียบพลัน รุ่น Elite</t>
  </si>
  <si>
    <t>VM-27</t>
  </si>
  <si>
    <t>รถพยาบาลสมรรถนะสูง</t>
  </si>
  <si>
    <t>Ambulance</t>
  </si>
  <si>
    <t>VT-1</t>
  </si>
  <si>
    <t>รถนั่งส่วนกลาง ปริมาตรกระบอกสูบไม่เกิน 1,300 ซีซี (Eco car)</t>
  </si>
  <si>
    <t>VT-2</t>
  </si>
  <si>
    <t>รถนั่งส่วนกลาง ปริมาตรกระบอกสูบ 1,400 - 1,600 ซีซี หรือกำลังเครื่องยนต์สูงสุดไม่ต่ำกว่า 70 กิโลวัตต์</t>
  </si>
  <si>
    <t>VT-3</t>
  </si>
  <si>
    <t>รถนั่งส่วนกลาง ปริมาตรกระบอกสูบ 1,600 - 1,800 ซีซี หรือกำลังเครื่องยนต์สูงสุดไม่ต่ำกว่า 90 กิโลวัตต์</t>
  </si>
  <si>
    <t>VT-5</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</si>
  <si>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</si>
  <si>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VT-7</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</si>
  <si>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พร้อมหลังคาไฟเบอร์กลาสหรือเหล็กหรือพลาสติกวิศวกรรม</t>
  </si>
  <si>
    <t>VT-8</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</si>
  <si>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</si>
  <si>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VT-10</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</si>
  <si>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พร้อมหลังคาไฟเบอร์กลาสหรือเหล็กหรือพลาสติกวิศวกรรม</t>
  </si>
  <si>
    <t>VT-11</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</si>
  <si>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</si>
  <si>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VT-13</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</si>
  <si>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พร้อมหลังคาไฟเบอร์กลาสหรือเหล็กหรือพลาสติกวิศวกรรม</t>
  </si>
  <si>
    <t>VT-14</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</si>
  <si>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</si>
  <si>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VT-16</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</si>
  <si>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พร้อมหลังคาไฟเบอร์กลาสหรือเหล็กหรือพลาสติกวิศวกรรม</t>
  </si>
  <si>
    <t>VT-17</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</si>
  <si>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</si>
  <si>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VT-19</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</si>
  <si>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พร้อมหลังคาไฟเบอร์กลาสหรือเหล็กหรือพลาสติกวิศวกรรม</t>
  </si>
  <si>
    <t>VT-21</t>
  </si>
  <si>
    <t>หลังคารถบรรทุก ขนาด 1 ตัน หลังคาไฟเบอร์กลาสหรือเหล็กหรือพลาสติกวิศวกรรม</t>
  </si>
  <si>
    <t>หลัง</t>
  </si>
  <si>
    <t>VT-22</t>
  </si>
  <si>
    <t>รถบรรทุก (ดีเซล) ขนาด 2 ตัน ปริมาตรกระบอกสูบไม่ต่ำกว่า 2,700 ซีซี หรือกำลังเครื่องยนต์สูงสุดไม่ต่ำกว่า 75 กิโลวัตต์ แบบ 4 ล้อ</t>
  </si>
  <si>
    <t>VT-23</t>
  </si>
  <si>
    <t>รถบรรทุก (ดีเซล) ขนาด 3 ตัน 6 ล้อ ปริมาตรกระบอกสูบไม่ต่ำกว่า 3,000 ซีซี หรือกำลังเครื่องยนต์สูงสุดไม่ต่ำกว่า 80 กิโลวัตต์</t>
  </si>
  <si>
    <t>VT-24</t>
  </si>
  <si>
    <t>รถบรรทุก (ดีเซล) ขนาด 4 ตัน 6 ล้อ ปริมาตรกระบอกสูบไม่ต่ำกว่า 4,000 ซีซี หรือกำลังเครื่องยนต์สูงสุดไม่ต่ำกว่า 105 กิโลวัตต์</t>
  </si>
  <si>
    <t>VT-25</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</si>
  <si>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</si>
  <si>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VT-26</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</si>
  <si>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</si>
  <si>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VT-27</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</si>
  <si>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</si>
  <si>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VT-28</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</si>
  <si>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</si>
  <si>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VT-29</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</si>
  <si>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</si>
  <si>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VT-30</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</si>
  <si>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</si>
  <si>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VT-32</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</si>
  <si>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</si>
  <si>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VT-33</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</si>
  <si>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</si>
  <si>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VT-34</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</si>
  <si>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</si>
  <si>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VT-35</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</si>
  <si>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</si>
  <si>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VT-36</t>
  </si>
  <si>
    <t>รถพยาบาล (รถตู้) ปริมาตรกระบอกสูบไม่ต่ำกว่า 2,400 ซีซี หรือกำลังเครื่องยนต์สูงสุดไม่ต่ำกว่า 90 กิโลวัตต์</t>
  </si>
  <si>
    <t>VT-37</t>
  </si>
  <si>
    <t>รถพยาบาลฉุกเฉิน (รถกระบะ) ปริมาตรกระบอกสูบไม่ต่ำกว่า 2,400 ซีซี หรือกำลังเครื่องยนต์สูงสุดไม่ต่ำกว่า 110 กิโลวัตต์</t>
  </si>
  <si>
    <t>VT-38</t>
  </si>
  <si>
    <t>รถจักรยานยนต์ ขนาด 110 ซีซี แบบเกียร์ธรรมดา</t>
  </si>
  <si>
    <t>VT-39</t>
  </si>
  <si>
    <t>รถจักรยานยนต์ ขนาด 110 ซีซี แบบเกียร์อัตโนมัติ</t>
  </si>
  <si>
    <t>VT-40</t>
  </si>
  <si>
    <t>รถจักรยานยนต์ ขนาด 120 ซีซี</t>
  </si>
  <si>
    <t>VT-41</t>
  </si>
  <si>
    <t>รถจักรยานยนต์ ขนาด 150 ซีซี</t>
  </si>
  <si>
    <t>VT-82</t>
  </si>
  <si>
    <t>รถบรรทุกอเนกประสงค์ขับเคลื่อน 4 ล้อ (Multi Purpose Truck (MPT 4 X 4)) รวมระบบปรับอากาศในห้องโดยสาร</t>
  </si>
  <si>
    <t>ฉบับ เม.ย. 63</t>
  </si>
  <si>
    <t>เมษายน 2563 - เมษายน 2571 (8 ปี)</t>
  </si>
  <si>
    <t>VT-93</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</si>
  <si>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</si>
  <si>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VT-99</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</si>
  <si>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t>
  </si>
  <si>
    <t>VT-100</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</si>
  <si>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t>
  </si>
  <si>
    <t>VT-101</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</si>
  <si>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t>
  </si>
  <si>
    <t>VT-102</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</si>
  <si>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t>
  </si>
  <si>
    <t>VT-103</t>
  </si>
  <si>
    <t>รถประจำตำแหน่ง ระดับรองนายกรัฐมนตรี รองประธานรัฐสภา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t>
  </si>
  <si>
    <t>VT-104</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</si>
  <si>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</si>
  <si>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</si>
  <si>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พฤศจิกายน 2564 – พฤศจิกายน 2572 (8 ปี)</t>
  </si>
  <si>
    <t>VT-105</t>
  </si>
  <si>
    <t>เครื่องประจุไฟฟ้าแบบติดผนังสำหรับรถยนต์ไฟฟ้า (EV Wall Charger) PTT EV Wall Charger รุ่น Normal Charge</t>
  </si>
  <si>
    <t>ฉบับ ต.ค. 62</t>
  </si>
  <si>
    <t>ตุลาคม 2562 - ตุลาคม 2570 (8 ปี)</t>
  </si>
  <si>
    <t>VT-106</t>
  </si>
  <si>
    <t>เครื่องประจุไฟฟ้าแบบติดผนังสำหรับรถยนต์ไฟฟ้า (EV Wall Charger) PTT EV Wall Charger รุ่น 7 kW Smart</t>
  </si>
  <si>
    <t>ฉบับ ก.ย. 65</t>
  </si>
  <si>
    <t>กันยายน 2565 – ตุลาคม 2570 (5 ปี 1 เดือน)</t>
  </si>
  <si>
    <t>VT-107</t>
  </si>
  <si>
    <t>เครื่องประจุไฟฟ้าแบบติดผนังสำหรับรถยนต์ไฟฟ้า (EV Wall Charger) PTT EV Wall Charger รุ่น 22 kW Smart</t>
  </si>
  <si>
    <t>VT-108</t>
  </si>
  <si>
    <t>เครื่องอัดประจุไฟฟ้าสำหรับยานยนต์ไฟฟ้า (Electric Vehicle Supply Equipment) EVITY CHARGE EV Charger ระบบไฟฟ้า 3 เฟส 22 kW Model : EVCG-IDNA-3PNH</t>
  </si>
  <si>
    <t>VT-109</t>
  </si>
  <si>
    <t>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t>
  </si>
  <si>
    <t>VT-112</t>
  </si>
  <si>
    <t>รถยนต์ไฟฟ้า ประเภทปลั๊กอินไฮบริด (PHEV) ที่มีขนาดความจุของแบตเตอรี่ตั้งแต่ 15-30 กิโลวัตต์ชั่วโมง (kWh) ปริมาตรกระบอกสูบไม่เกิน 1,500 ซีซี หรือกำลังเครื่องยนต์สูงสุดไม่ต่ำกว่า 70 กิโลวัตต์ และกำลังมอเตอร์ไฟฟ้าสูงสุดไม่เกิน 160 กิโลวัตต์</t>
  </si>
  <si>
    <t>VT-113</t>
  </si>
  <si>
    <t>รถยนต์ไฟฟ้า ประเภทแบตเตอรี่ (BEV) ที่มีขนาดความจุของแบตเตอรี่มากกว่า 50-60 กิโลวัตต์ชั่วโมง (kWh) และกำลังมอเตอร์ไฟฟ้าสูงสุดไม่เกิน 180 กิโลวัตต์</t>
  </si>
  <si>
    <t>VT-114</t>
  </si>
  <si>
    <t>รถยนต์ไฟฟ้า ประเภทแบตเตอรี่ (BEV) ที่มีขนาดความจุของแบตเตอรี่มากกว่า 60 กิโลวัตต์ชั่วโมง (kWh) และกำลังมอเตอร์ไฟฟ้าสูงสุดไม่เกิน 180 กิโลวัตต์</t>
  </si>
  <si>
    <t>VT-115</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</si>
  <si>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แบบธรรมดา</t>
  </si>
  <si>
    <t>VT-116</t>
  </si>
  <si>
    <t>รถบรรทุกไฟฟ้า ประเภทแบตเตอรี่ (BEV) ที่มีขนาดความจุของแบตเตอรี่ตั้งแต่ 50-90 กิโลวัตต์ชั่วโมง (kWh) และกำลังมอเตอร์ไฟฟ้าสูงสุดไม่ต่ำกว่า 120 กิโลวัตต์ บบดับเบิ้ลแค็บ</t>
  </si>
  <si>
    <t>VT-117</t>
  </si>
  <si>
    <t>รถจักรยานยนต์ไฟฟ้า ประเภทแบตเตอรี่ (BEV) ที่มีขนาดความจุของแบตเตอรี่ตั้งแต่ 1-3 กิโลวัตต์ชั่วโมง (kWh) และกำลังมอเตอร์ไฟฟ้าสูงสุดไม่ต่ำกว่า 2 กิโลวัตต์</t>
  </si>
  <si>
    <t>VT-118</t>
  </si>
  <si>
    <t>รถยนต์ไฟฟ้า ประเภทแบตเตอรี่ (BEV) ที่มีขนาดความจุของแบตเตอรี่มากกว่า 3 กิโลวัตต์ชั่วโมง (kWh) และกำลังมอเตอร์ไฟฟ้าสูงสุดไม่ต่ำกว่า 3 กิโลวัตต์</t>
  </si>
  <si>
    <t>ครุภัณฑ์วิทยาศาสตร์</t>
  </si>
  <si>
    <t>SC-8</t>
  </si>
  <si>
    <t>ที่นอนลดแผลกดทับ (Anti-bedsore Mattresses) SAWAKY รุ่น AHSB-3102 ขนาด 87 x 200 x 5.5 เซนติเมตร</t>
  </si>
  <si>
    <t>Anti-bedsore Mattresses</t>
  </si>
  <si>
    <t>เมษายน 2561 – เมษายน 2569 (8 ปี)</t>
  </si>
  <si>
    <t>SC-9</t>
  </si>
  <si>
    <t>รถเข็นนั่งใช้ไฟฟ้า (Electric –Powered Wheelchair) รุ่น KM ขนาดความกว้างที่นั่ง 350 (L) X 370 (W) มิลลิเมตร</t>
  </si>
  <si>
    <t>Electric –Powered Wheelchair</t>
  </si>
  <si>
    <t>ฉบับ มิ.ย. 61</t>
  </si>
  <si>
    <t>มิถุนายน 2561 – มิถุนายน 2569 (8 ปี)</t>
  </si>
  <si>
    <t>SC-10</t>
  </si>
  <si>
    <t>หุ่นยนต์ช่วยฟื้นฟูสมรรถภาพการเคลื่อนไหวแขน (Robotic Devices for Arm Rehabilitation) SENSIBLE TAB</t>
  </si>
  <si>
    <t>Robotic Devices for Arm Rehabilitation</t>
  </si>
  <si>
    <t>ฉบับ ก.ค. 61</t>
  </si>
  <si>
    <t>กรกฎาคม 2561 - กรกฎาคม 2569 (8 ปี)</t>
  </si>
  <si>
    <t>SC-11</t>
  </si>
  <si>
    <t>หุ่นยนต์ฟื้นฟูการเดิน (GAIT REHABILITATION ROBOTS)</t>
  </si>
  <si>
    <t>GAIT REHABILITATION ROBOTS</t>
  </si>
  <si>
    <t>ฉบับ พ.ย. 64</t>
  </si>
  <si>
    <t>พฤศจิกายน 2564 - พฤศจิกายน 2571 (7 ปี)</t>
  </si>
  <si>
    <t>SC-12</t>
  </si>
  <si>
    <t>ชุดอุปกรณ์ช่วยล้างดวงตา (Lerprat eye รุ่น N5734866)</t>
  </si>
  <si>
    <t>Lerprat eye</t>
  </si>
  <si>
    <t>ฉบับ ก.พ. 62</t>
  </si>
  <si>
    <t>กุมภาพันธ์ 2562 – กุมภาพันธ์ 2570 (8 ปี)</t>
  </si>
  <si>
    <t>SC-13</t>
  </si>
  <si>
    <t>เครื่องฆ่าเชื้อด้วยรังสี UVC ควบคุมการทางานด้วยระบบ Internet of Things (IoT) (Light Ultraviolet Germicidal)</t>
  </si>
  <si>
    <t>Light Ultraviolet Germicidal</t>
  </si>
  <si>
    <t>ฉบับ ก.ค. 64</t>
  </si>
  <si>
    <t>กรกฎาคม 2564 – กรกฎาคม 2572 (8 ปี)</t>
  </si>
  <si>
    <t>SC-19</t>
  </si>
  <si>
    <t>เครื่องฆ่าเชื้อโรคในอากาศยูวีซี (UVC Air Sanitizer) ยูวี แคร์254 / รุ่น UV-40-ST4-G2 / กำลังไฟฟ้าไม่น้อยกว่า 45 วัตต์</t>
  </si>
  <si>
    <t>ฉบับ พ.ค. 66</t>
  </si>
  <si>
    <t>SC-20</t>
  </si>
  <si>
    <t>เครื่องฆ่าเชื้อโรคในอากาศยูวีซี (UVC Air Sanitizer) ยูวี แคร์254 / รุ่น UV-40-ST4-G2 /WMHL/ กำลังไฟฟ้าไม่น้อยกว่า 45 วัตต์ / มิเตอร์นับชั่วโมง</t>
  </si>
  <si>
    <t>SC-22</t>
  </si>
  <si>
    <t>เครื่องพ่นหมอกควันสะพายไหล่ ที่ใช้ในงานสาธารณสุข</t>
  </si>
  <si>
    <t>SC-23</t>
  </si>
  <si>
    <t>เครื่องพ่นละอองฝอยสะพายหลัง ULV Rotary ที่ใช้ในงานสาธารณสุข</t>
  </si>
  <si>
    <t>SC-24</t>
  </si>
  <si>
    <t>เครื่องพ่นฝอยละเอียด (ULV) ติดตั้งบนรถยนต์ ขนาดไม่ต่ำกว่า 13 แรงม้า แต่ไม่ถึง 18 แรงม้า ที่ใช้ในงานสาธารณสุข</t>
  </si>
  <si>
    <t>SC-25</t>
  </si>
  <si>
    <t>เครื่องพ่นฝอยละเอียด (ULV) ติดตั้งบนรถยนต์ ขนาดตั้งแต่ 18 แรงม้าขึ้นไป ที่ใช้ในงานสาธารณสุข</t>
  </si>
  <si>
    <t>SC-26</t>
  </si>
  <si>
    <t>กล้องจุลทรรศน์ ชนิดตาเดียว</t>
  </si>
  <si>
    <t>Monocular microscope</t>
  </si>
  <si>
    <t>SC-27</t>
  </si>
  <si>
    <t>กล้องจุลทรรศน์ ชนิด 2 ตา</t>
  </si>
  <si>
    <t>SC-28</t>
  </si>
  <si>
    <t>เครื่องวัดความเป็นกรด - ด่าง แบบตั้งโต๊ะ</t>
  </si>
  <si>
    <t>SC-29</t>
  </si>
  <si>
    <t>ที่นอนลมป้องกันการเกิดแผลกดทับ สำหรับการรักษาผู้ป่วยด้วยวิธีการนอนคว่ำ</t>
  </si>
  <si>
    <t>SC-30</t>
  </si>
  <si>
    <t>ที่นอนลมป้องกันการเกิดแผลกดทับแบบปรับเอียงอัตโนมัติ</t>
  </si>
  <si>
    <t>ครุภัณฑ์สำนักงาน</t>
  </si>
  <si>
    <t>OFF-1</t>
  </si>
  <si>
    <t>กบไฟฟ้า ขนาด 6 นิ้ว</t>
  </si>
  <si>
    <t>electric planer 6 inch</t>
  </si>
  <si>
    <t>OFF-2</t>
  </si>
  <si>
    <t>กบไฟฟ้า ขนาด 8 นิ้ว</t>
  </si>
  <si>
    <t>Electric planer size 8 inches</t>
  </si>
  <si>
    <t>OFF-3</t>
  </si>
  <si>
    <t>เครื่องบีบระบบไฮดรอลิก</t>
  </si>
  <si>
    <t>hydraulic press machine</t>
  </si>
  <si>
    <t>OFF-4</t>
  </si>
  <si>
    <t>เครื่องอัดสำเนา</t>
  </si>
  <si>
    <t>duplicator</t>
  </si>
  <si>
    <t>OFF-5</t>
  </si>
  <si>
    <t>เครื่องถ่ายเอกสารระบบดิจิทัล (ขาว - ดำ) ความเร็ว 20 แผ่นต่อนาที</t>
  </si>
  <si>
    <t>OFF-6</t>
  </si>
  <si>
    <t>เครื่องถ่ายเอกสารระบบดิจิทัล (ขาว - ดำ) ความเร็ว 30 แผ่นต่อนาที</t>
  </si>
  <si>
    <t>OFF-7</t>
  </si>
  <si>
    <t>เครื่องถ่ายเอกสารระบบดิจิทัล (ขาว - ดำ) ความเร็ว 40 แผ่นต่อนาที</t>
  </si>
  <si>
    <t>OFF-8</t>
  </si>
  <si>
    <t>เครื่องถ่ายเอกสารระบบดิจิทัล (ขาว - ดำ) ความเร็ว 50 แผ่นต่อนาที</t>
  </si>
  <si>
    <t>OFF-9</t>
  </si>
  <si>
    <t>เครื่องถ่ายเอกสารระบบดิจิทัล (ขาว - ดำ และสี) ความเร็ว 20 แผ่นต่อนาที</t>
  </si>
  <si>
    <t>OFF-10</t>
  </si>
  <si>
    <t>เครื่องถ่ายเอกสารระบบดิจิทัล (ขาว - ดำ และสี) ความเร็ว 30 แผ่นต่อนาที</t>
  </si>
  <si>
    <t>OFF-11</t>
  </si>
  <si>
    <t>เครื่องถ่ายเอกสารระบบดิจิทัล (ขาว - ดำ และสี) ความเร็ว 40 แผ่นต่อนาที</t>
  </si>
  <si>
    <t>OFF-12</t>
  </si>
  <si>
    <t>เครื่องถ่ายเอกสารระบบดิจิทัล (ขาว - ดำ และสี) ความเร็ว 50 แผ่นต่อนาที</t>
  </si>
  <si>
    <t>OFF-13</t>
  </si>
  <si>
    <t>เครื่องพิมพ์สำเนาระบบดิจิทัล ความละเอียด 300 x 400 จุดต่อตารางนิ้ว</t>
  </si>
  <si>
    <t>OFF-14</t>
  </si>
  <si>
    <t>เครื่องพิมพ์สำเนาระบบดิจิทัล ความละเอียด 300 x 600 จุดต่อตารางนิ้ว</t>
  </si>
  <si>
    <t>OFF-15</t>
  </si>
  <si>
    <t>เครื่องทำลายเอกสาร แบบตัดตรง ทำลายครั้งละ 10 แผ่น</t>
  </si>
  <si>
    <t>OFF-16</t>
  </si>
  <si>
    <t>เครื่องทำลายเอกสาร แบบตัดตรง ทำลายครั้งละ 20 แผ่น</t>
  </si>
  <si>
    <t>OFF-17</t>
  </si>
  <si>
    <t>เครื่องทำลายเอกสาร แบบตัดตรง ทำลายครั้งละ 30 แผ่น</t>
  </si>
  <si>
    <t>OFF-18</t>
  </si>
  <si>
    <t>เครื่องทำลายเอกสาร แบบตัดละเอียด ทำลายครั้งละ 10 แผ่น</t>
  </si>
  <si>
    <t>OFF-19</t>
  </si>
  <si>
    <t>เครื่องทำลายเอกสาร แบบตัดละเอียด ทำลายครั้งละ 20 แผ่น</t>
  </si>
  <si>
    <t>OFF-20</t>
  </si>
  <si>
    <t>เครื่องทำลายเอกสาร แบบตัดละเอียด ทำลายครั้งละ 30 แผ่น</t>
  </si>
  <si>
    <t>OFF-21</t>
  </si>
  <si>
    <t>เครื่องเจาะกระดาษและเข้าเล่ม แบบเจาะกระดาษและเข้าเล่มมือโยก</t>
  </si>
  <si>
    <t>OFF-22</t>
  </si>
  <si>
    <t>เครื่องเจาะกระดาษและเข้าเล่ม แบบเจาะกระดาษไฟฟ้าและเข้าเล่มมือโยก</t>
  </si>
  <si>
    <t>OFF-23</t>
  </si>
  <si>
    <t>เครื่องนับธนบัตร แบบตั้งโต๊ะ</t>
  </si>
  <si>
    <t>OFF-24</t>
  </si>
  <si>
    <t>เครื่องนับธนบัตร แบบตั้งพื้น</t>
  </si>
  <si>
    <t>OFF-25</t>
  </si>
  <si>
    <t>เครื่องดูดฝุ่น ขนาด 15 ลิตร</t>
  </si>
  <si>
    <t>OFF-26</t>
  </si>
  <si>
    <t>เครื่องดูดฝุ่น ขนาด 25 ลิตร</t>
  </si>
  <si>
    <t>OFF-27</t>
  </si>
  <si>
    <t>เครื่องขัดพื้น</t>
  </si>
  <si>
    <t>OFF-28</t>
  </si>
  <si>
    <t>ถังน้ำ แบบไฟเบอร์กลาส ขนาดความจุ 1,000 ลิตร</t>
  </si>
  <si>
    <t>ใบ</t>
  </si>
  <si>
    <t>OFF-29</t>
  </si>
  <si>
    <t>ถังน้ำ แบบไฟเบอร์กลาส ขนาดความจุ 1,500 ลิตร</t>
  </si>
  <si>
    <t>OFF-30</t>
  </si>
  <si>
    <t>ถังน้ำ แบบไฟเบอร์กลาส ขนาดความจุ 2,000 ลิตร</t>
  </si>
  <si>
    <t>OFF-31</t>
  </si>
  <si>
    <t>ถังน้ำ แบบไฟเบอร์กลาส ขนาดความจุ 2,500 ลิตร</t>
  </si>
  <si>
    <t>OFF-32</t>
  </si>
  <si>
    <t>ถังน้ำ แบบพลาสติก ขนาดความจุ 2,000 ลิตร</t>
  </si>
  <si>
    <t>OFF-33</t>
  </si>
  <si>
    <t>ถังน้ำ แบบสเตนเลส ขนาดความจุ 1,000 ลิตร</t>
  </si>
  <si>
    <t>OFF-34</t>
  </si>
  <si>
    <t>ถังน้ำ แบบสเตนเลส ขนาดความจุ 1,500 ลิตร</t>
  </si>
  <si>
    <t>OFF-35</t>
  </si>
  <si>
    <t>ถังน้ำ แบบสเตนเลส ขนาดความจุ 2,000 ลิตร</t>
  </si>
  <si>
    <t>OFF-36</t>
  </si>
  <si>
    <t>ถังน้ำ แบบสเตนเลส ขนาดความจุ 2,500 ลิตร</t>
  </si>
  <si>
    <t>OFF-37</t>
  </si>
  <si>
    <t>เครื่องพิมพ์บัตรพลาสติกแบบหน้าเดียว</t>
  </si>
  <si>
    <t>OFF-38</t>
  </si>
  <si>
    <t>เครื่องสแกนลายนิ้วมือ ชนิดบันทึกเวลาเข้าออกงาน</t>
  </si>
  <si>
    <t>OFF-39</t>
  </si>
  <si>
    <t>โต๊ะหมู่บูชา</t>
  </si>
  <si>
    <t>OFF-40</t>
  </si>
  <si>
    <t>ตู้เหล็ก แบบ 2 บาน</t>
  </si>
  <si>
    <t>OFF-41</t>
  </si>
  <si>
    <t>ตู้เหล็ก แบบ 4 ลิ้นชัก</t>
  </si>
  <si>
    <t>OFF-42</t>
  </si>
  <si>
    <t>ตู้ล็อกเกอร์ 18 ช่อง</t>
  </si>
  <si>
    <t>AIR-1</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</si>
  <si>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</si>
  <si>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ฉบับ เม.ย. 62</t>
  </si>
  <si>
    <t>เมษายน 2562 - เมษายน 2570 (8 ปี)</t>
  </si>
  <si>
    <t>AIR-2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</si>
  <si>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</si>
  <si>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High SEER Split Type Inverter Air Conditioner</t>
  </si>
  <si>
    <t>มีนาคม 2561 - มีนาคม 2569 (8 ปี)</t>
  </si>
  <si>
    <t>AIR-3</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</si>
  <si>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</si>
  <si>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AIR-4</t>
  </si>
  <si>
    <t>เครื่องปรับอากาศ ที่มีระบบควบคุมผ่านอินเทอร์เน็ต รุ่น High SEER inverter/GPS4.0 ชนิดติดผนัง ขนาด 9,000 บีทียู</t>
  </si>
  <si>
    <t>AIR-5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</si>
  <si>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</si>
  <si>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AIR-6</t>
  </si>
  <si>
    <t>เครื่องปรับอากาศ ที่มีระบบควบคุมผ่านอินเทอร์เน็ต รุ่น High SEER inverter/GPS4.0 ชนิดติดผนัง ขนาด 12,000 บีทียู</t>
  </si>
  <si>
    <t>AIR-7</t>
  </si>
  <si>
    <t>เครื่องฟอกอากาศสำหรับห้อง ที่มีเทคโนโลยีตัวกรองฝุ่นละเอียด (Ultrafine air purifier) รุ่น AP-P35 / ULTRAFINE TECHNOLOGY</t>
  </si>
  <si>
    <t>Ultrafine air purifier</t>
  </si>
  <si>
    <t>มีนาคม 2562 – มีนาคม 2570 (8 ปี)</t>
  </si>
  <si>
    <t>AIR-8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</si>
  <si>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</si>
  <si>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Ultrafine air purifier split type Inverter Air Conditione</t>
  </si>
  <si>
    <t>AIR-9</t>
  </si>
  <si>
    <t>เครื่องปรับอากาศที่มีระบบกำจัดไรฝุ่น (House Dust Mite Killer Air Conditioner) รุ่น Hygienic Inverter 12,000 BTU รุ่นชุดคอนเดนซิง SJ-W12F-A-DTGP1</t>
  </si>
  <si>
    <t>House Dust Mite Killer Air Conditioner</t>
  </si>
  <si>
    <t>ฉบับ ก.พ. 61</t>
  </si>
  <si>
    <t>กุมภาพันธ์ 2561 - กุมภาพันธ์ 2569 (8 ปี)</t>
  </si>
  <si>
    <t>AIR-10</t>
  </si>
  <si>
    <t>เครื่องปรับอากาศที่มีระบบกำจัดไรฝุ่น (House Dust Mite Killer Air Conditioner) รุ่น Hygienic Inverter 12,000 BTU รุ่นชุดแฟนคอยล์ SJ-C12F-A-DTGP1</t>
  </si>
  <si>
    <t>AIR-11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</si>
  <si>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</si>
  <si>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AIR-12</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</si>
  <si>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</si>
  <si>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AIR-13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</si>
  <si>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</si>
  <si>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Ultrafine air purifier split type Inverter Air Conditioner</t>
  </si>
  <si>
    <t>AIR-14</t>
  </si>
  <si>
    <t>เครื่องปรับอากาศ ที่มีระบบควบคุมผ่านอินเทอร์เน็ต รุ่น High SEER inverter/GPS4.0 ชนิดแขวน ขนาด 13,000 บีทียู</t>
  </si>
  <si>
    <t>AIR-15</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</si>
  <si>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</si>
  <si>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AIR-16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</si>
  <si>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</si>
  <si>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AIR-17</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</si>
  <si>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</si>
  <si>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AIR-18</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</si>
  <si>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</si>
  <si>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AIR-19</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</si>
  <si>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</si>
  <si>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AIR-20</t>
  </si>
  <si>
    <t>เครื่องปรับอากาศ ที่มีระบบควบคุมผ่านอินเทอร์เน็ต รุ่น High SEER inverter/GPS4.0 ชนิดติดผนัง ขนาด 18,000 บีทียู</t>
  </si>
  <si>
    <t>AIR-21</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</si>
  <si>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</si>
  <si>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AIR-23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</si>
  <si>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</si>
  <si>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AIR-24</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</si>
  <si>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</si>
  <si>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AIR-25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</si>
  <si>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13,000 บีทียู</t>
  </si>
  <si>
    <t>Inverter split type room air conditioner with no.5 «««energy efficiency rating label according to EGAT's energy criteria year 2019</t>
  </si>
  <si>
    <t>พฤษภาคม 2563 - พฤษภาคม 2571 (8 ปี)</t>
  </si>
  <si>
    <t>AIR-26</t>
  </si>
  <si>
    <t>เครื่องปรับอากาศ ที่มีระบบควบคุมผ่านอินเทอร์เน็ต รุ่น High SEER inverter/GPS4.0 ชนิดแขวน ขนาด 18,000 บีทียู</t>
  </si>
  <si>
    <t>AIR-27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</si>
  <si>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</si>
  <si>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AIR-29</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</si>
  <si>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</si>
  <si>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AIR-30</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</si>
  <si>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</si>
  <si>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AIR-31</t>
  </si>
  <si>
    <t>เครื่องปรับอากาศ ที่มีระบบควบคุมผ่านอินเทอร์เน็ต รุ่น High SEER inverter/GPS4.0 ชนิดติดผนัง ขนาด 25,000 บีทียู</t>
  </si>
  <si>
    <t>AIR-32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</si>
  <si>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</si>
  <si>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AIR-33</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</si>
  <si>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</si>
  <si>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AIR-34</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</si>
  <si>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</si>
  <si>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AIR-35</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</si>
  <si>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</si>
  <si>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AIR-36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</si>
  <si>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19,000 บีทียู</t>
  </si>
  <si>
    <t>AIR-37</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</si>
  <si>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</si>
  <si>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AIR-39</t>
  </si>
  <si>
    <t>เครื่องปรับอากาศ ที่มีระบบควบคุมผ่านอินเทอร์เน็ต รุ่น High SEER inverter/GPS4.0 ชนิดแขวน ขนาด 25,000 บีทียู</t>
  </si>
  <si>
    <t>AIR-40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</si>
  <si>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</si>
  <si>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AIR-41</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</si>
  <si>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</si>
  <si>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AIR-42</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</si>
  <si>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</si>
  <si>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AIR-43</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</si>
  <si>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</si>
  <si>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AIR-44</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</si>
  <si>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</si>
  <si>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AIR-45</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</si>
  <si>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</si>
  <si>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AIR-46</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</si>
  <si>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</si>
  <si>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AIR-47</t>
  </si>
  <si>
    <t>เครื่องปรับอากาศ ที่มีระบบควบคุมผ่านอินเทอร์เน็ต รุ่น High SEER inverter/GPS4.0 ชนิดติดผนัง ขนาด 30,000 บีทียู</t>
  </si>
  <si>
    <t>AIR-49</t>
  </si>
  <si>
    <t>เครื่องปรับอากาศ ที่มีระบบควบคุมผ่านอินเทอร์เน็ต รุ่น High SEER inverter/GPS4.0 ชนิดแขวน ขนาด 30,000 บีทียู</t>
  </si>
  <si>
    <t>AIR-50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</si>
  <si>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</si>
  <si>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AIR-51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</si>
  <si>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</si>
  <si>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AIR-52</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</si>
  <si>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25,000 บีทียู</t>
  </si>
  <si>
    <t>AIR-53</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</si>
  <si>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</si>
  <si>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AIR-54</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</si>
  <si>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</si>
  <si>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AIR-55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</si>
  <si>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</si>
  <si>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AIR-56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</si>
  <si>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30,000 บีทียู</t>
  </si>
  <si>
    <t>AIR-57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</si>
  <si>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</si>
  <si>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AIR-58</t>
  </si>
  <si>
    <t>เครื่องปรับอากาศ ที่มีระบบควบคุมผ่านอินเทอร์เน็ต รุ่น High SEER inverter/GPS4.0 ชนิดแขวน ขนาด 36,000 บีทียู</t>
  </si>
  <si>
    <t>AIR-59</t>
  </si>
  <si>
    <t>เครื่องปรับอากาศ ที่มีระบบควบคุมผ่านอินเทอร์เน็ต รุ่น High SEER inverter/GPS4.0 ชนิดติดผนัง ขนาด 36,000 บีทียู</t>
  </si>
  <si>
    <t>AIR-60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</si>
  <si>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</si>
  <si>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AIR-61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</si>
  <si>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</si>
  <si>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AIR-63</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</si>
  <si>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36,000 บีทียู</t>
  </si>
  <si>
    <t>AIR-64</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</si>
  <si>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36,000 บีทียู</t>
  </si>
  <si>
    <t>AIR-65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</si>
  <si>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38,000 บีทียู</t>
  </si>
  <si>
    <t>AIR-66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</si>
  <si>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38,000 บีทียู</t>
  </si>
  <si>
    <t>AIR-67</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</si>
  <si>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40,000 บีทียู</t>
  </si>
  <si>
    <t>AIR-68</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</si>
  <si>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40,000 บีทียู</t>
  </si>
  <si>
    <t>AIR-69</t>
  </si>
  <si>
    <t>เครื่องปรับอากาศ แบบแยกส่วน (ราคารวมค่าติดตั้ง) แบบตั้งพื้นหรือแบบแขวน ขนาด 13,000 บีทียู</t>
  </si>
  <si>
    <t>AIR-71</t>
  </si>
  <si>
    <t>เครื่องปรับอากาศ แบบแยกส่วน (ราคารวมค่าติดตั้ง) แบบตั้งพื้นหรือแบบแขวน ขนาด 18,000 บีทียู</t>
  </si>
  <si>
    <t>AIR-72</t>
  </si>
  <si>
    <t>เครื่องปรับอากาศ แบบแยกส่วน (ราคารวมค่าติดตั้ง) แบบตั้งพื้นหรือแบบแขวน ขนาด 20,000 บีทียู</t>
  </si>
  <si>
    <t>AIR-73</t>
  </si>
  <si>
    <t>เครื่องปรับอากาศ แบบแยกส่วน (ราคารวมค่าติดตั้ง) แบบตั้งพื้นหรือแบบแขวน ขนาด 24,000 บีทียู</t>
  </si>
  <si>
    <t>AIR-74</t>
  </si>
  <si>
    <t>เครื่องปรับอากาศ แบบแยกส่วน (ราคารวมค่าติดตั้ง) แบบตั้งพื้นหรือแบบแขวน ขนาด 26,000 บีทียู</t>
  </si>
  <si>
    <t>AIR-75</t>
  </si>
  <si>
    <t>เครื่องปรับอากาศ แบบแยกส่วน (ราคารวมค่าติดตั้ง) แบบตั้งพื้นหรือแบบแขวน ขนาด 30,000 บีทียู</t>
  </si>
  <si>
    <t>AIR-76</t>
  </si>
  <si>
    <t>เครื่องปรับอากาศ แบบแยกส่วน (ราคารวมค่าติดตั้ง) แบบตั้งพื้นหรือแบบแขวน ขนาด 32,000 บีทียู</t>
  </si>
  <si>
    <t>AIR-77</t>
  </si>
  <si>
    <t>เครื่องปรับอากาศ แบบแยกส่วน (ราคารวมค่าติดตั้ง) แบบตั้งพื้นหรือแบบแขวน ขนาด 36,000 บีทียู</t>
  </si>
  <si>
    <t>AIR-78</t>
  </si>
  <si>
    <t>เครื่องปรับอากาศ แบบแยกส่วน (ราคารวมค่าติดตั้ง) แบบตั้งพื้นหรือแบบแขวน ขนาด 40,000 บีทียู</t>
  </si>
  <si>
    <t>AIR-79</t>
  </si>
  <si>
    <t>เครื่องปรับอากาศ แบบแยกส่วน (ราคารวมค่าติดตั้ง) แบบตั้งพื้นหรือแบบแขวน ขนาด 44,000 บีทียู</t>
  </si>
  <si>
    <t>AIR-80</t>
  </si>
  <si>
    <t>เครื่องปรับอากาศ แบบแยกส่วน (ราคารวมค่าติดตั้ง) แบบตั้งพื้นหรือแบบแขวน ขนาด 48,000 บีทียู</t>
  </si>
  <si>
    <t>AIR-81</t>
  </si>
  <si>
    <t>เครื่องปรับอากาศ แบบแยกส่วน (ราคารวมค่าติดตั้ง) แบบตั้งพื้นหรือแบบแขวน ขนาด 50,000 บีทียู</t>
  </si>
  <si>
    <t>AIR-82</t>
  </si>
  <si>
    <t>เครื่องปรับอากาศ แบบแยกส่วน (ราคารวมค่าติดตั้ง) แบบตั้งพื้นหรือแบบแขวน (ระบบ Inverter) ขนาด 13,000 บีทียู</t>
  </si>
  <si>
    <t>AIR-83</t>
  </si>
  <si>
    <t>เครื่องปรับอากาศ แบบแยกส่วน (ราคารวมค่าติดตั้ง) แบบตั้งพื้นหรือแบบแขวน (ระบบ Inverter) ขนาด 18,000 บีทียู</t>
  </si>
  <si>
    <t>AIR-85</t>
  </si>
  <si>
    <t>เครื่องปรับอากาศ แบบแยกส่วน (ราคารวมค่าติดตั้ง) แบบตั้งพื้นหรือแบบแขวน (ระบบ Inverter) ขนาด 24,000 บีทียู</t>
  </si>
  <si>
    <t>AIR-86</t>
  </si>
  <si>
    <t>เครื่องปรับอากาศ แบบแยกส่วน (ราคารวมค่าติดตั้ง) แบบตั้งพื้นหรือแบบแขวน (ระบบ Inverter) ขนาด 30,000 บีทียู</t>
  </si>
  <si>
    <t>AIR-87</t>
  </si>
  <si>
    <t>เครื่องปรับอากาศ แบบแยกส่วน (ราคารวมค่าติดตั้ง) แบบตั้งพื้นหรือแบบแขวน (ระบบ Inverter) ขนาด 36,000 บีทียู</t>
  </si>
  <si>
    <t>AIR-88</t>
  </si>
  <si>
    <t>เครื่องปรับอากาศ แบบแยกส่วน (ราคารวมค่าติดตั้ง) แบบตั้งพื้นหรือแบบแขวน (ระบบ Inverter) ขนาด 40,000 บีทียู</t>
  </si>
  <si>
    <t>AIR-89</t>
  </si>
  <si>
    <t>เครื่องปรับอากาศ แบบแยกส่วน (ราคารวมค่าติดตั้ง) แบบตั้งพื้นหรือแบบแขวน (ระบบ Inverter) ขนาด 48,000 บีทียู</t>
  </si>
  <si>
    <t>AIR-90</t>
  </si>
  <si>
    <t>เครื่องปรับอากาศ แบบแยกส่วน (ราคารวมค่าติดตั้ง) แบบติดผนัง ขนาด 12,000 บีทียู</t>
  </si>
  <si>
    <t>AIR-91</t>
  </si>
  <si>
    <t>เครื่องปรับอากาศ แบบแยกส่วน (ราคารวมค่าติดตั้ง) แบบติดผนัง ขนาด 15,000 บีทียู</t>
  </si>
  <si>
    <t>AIR-92</t>
  </si>
  <si>
    <t>เครื่องปรับอากาศ แบบแยกส่วน (ราคารวมค่าติดตั้ง) แบบติดผนัง ขนาด 18,000 บีทียู</t>
  </si>
  <si>
    <t>AIR-93</t>
  </si>
  <si>
    <t>เครื่องปรับอากาศ แบบแยกส่วน (ราคารวมค่าติดตั้ง) แบบติดผนัง ขนาด 24,000 บีทียู</t>
  </si>
  <si>
    <t>AIR-94</t>
  </si>
  <si>
    <t>เครื่องปรับอากาศ แบบแยกส่วน (ราคารวมค่าติดตั้ง) แบบติดผนัง (ระบบ Inverter) ขนาด 12,000 บีทียู</t>
  </si>
  <si>
    <t>AIR-95</t>
  </si>
  <si>
    <t>เครื่องปรับอากาศ แบบแยกส่วน (ราคารวมค่าติดตั้ง) แบบติดผนัง (ระบบ Inverter) ขนาด 15,000 บีทียู</t>
  </si>
  <si>
    <t>AIR-96</t>
  </si>
  <si>
    <t>เครื่องปรับอากาศ แบบแยกส่วน (ราคารวมค่าติดตั้ง) แบบติดผนัง (ระบบ Inverter) ขนาด 18,000 บีทียู</t>
  </si>
  <si>
    <t>AIR-97</t>
  </si>
  <si>
    <t>เครื่องปรับอากาศ แบบแยกส่วน (ราคารวมค่าติดตั้ง) แบบติดผนัง (ระบบ Inverter) ขนาด 24,000 บีทียู</t>
  </si>
  <si>
    <t>AIR-98</t>
  </si>
  <si>
    <t>เครื่องปรับอากาศ แบบแยกส่วน (ราคารวมค่าติดตั้ง) แบบตู้ตั้งพื้น ขนาด 44,000 บีทียู</t>
  </si>
  <si>
    <t>AIR-99</t>
  </si>
  <si>
    <t>เครื่องปรับอากาศ แบบแยกส่วน (ราคารวมค่าติดตั้ง) แบบตู้ตั้งพื้น ขนาด 56,000 บีทียู</t>
  </si>
  <si>
    <t>AIR-100</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</si>
  <si>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</si>
  <si>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AIR-101</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</si>
  <si>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</si>
  <si>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AIR-102</t>
  </si>
  <si>
    <t>เครื่องฟอกกำจัดเชื้อโรคและมลพิษในอากาศ ด้วยระบบผลิตสารอนุพันธ์ออกซิเจน (Air Sterilizing Purifier By Oxgen Derivatives Generation) Natural AirFresh/ รุ่น ASP-20</t>
  </si>
  <si>
    <t>ฉบับ ธ.ค. 65</t>
  </si>
  <si>
    <t>มิถุนายน 2565 – มิถุนายน 2573 (8 ปี)</t>
  </si>
  <si>
    <t>AIR-103</t>
  </si>
  <si>
    <t>เครื่องฟอกกำจัดเชื้อโรคและมลพิษในอากาศ ด้วยระบบผลิตสารอนุพันธ์ออกซิเจน (Air Sterilizing Purifier By Oxgen Derivatives Generation) Natural AirFresh/ รุ่น ASP-40</t>
  </si>
  <si>
    <t>AIR-104</t>
  </si>
  <si>
    <t>เครื่องฟอกกำจัดเชื้อโรคและมลพิษในอากาศ ด้วยระบบผลิตสารอนุพันธ์ออกซิเจน (Air Sterilizing Purifier By Oxgen Derivatives Generation) Natural AirFresh/ รุ่น ASP-80</t>
  </si>
  <si>
    <t>AIR-105</t>
  </si>
  <si>
    <t>เครื่องฟอกกำจัดเชื้อโรคและมลพิษในอากาศ ด้วยระบบผลิตสารอนุพันธ์ออกซิเจน (Air Sterilizing Purifier By Oxgen Derivatives Generation) Natural AirFresh/ รุ่น ASP-480</t>
  </si>
  <si>
    <t>AIR-106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</si>
  <si>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13,000 บีทียู</t>
  </si>
  <si>
    <t>มีนาคม 2565 - พฤษภาคม 2571 (6 ปี 2 เดือน)</t>
  </si>
  <si>
    <t>AIR-107</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</si>
  <si>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19,000 บีทียู</t>
  </si>
  <si>
    <t>AIR-108</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</si>
  <si>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25,000 บีทียู</t>
  </si>
  <si>
    <t>AIR-109</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</si>
  <si>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30,000 บีทียู</t>
  </si>
  <si>
    <t>AIR-110</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</si>
  <si>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36,000 บีทียู</t>
  </si>
  <si>
    <t>AIR-111</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</si>
  <si>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40,000 บีทียู</t>
  </si>
  <si>
    <t>AIR-112</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</si>
  <si>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36,000 บีทียู</t>
  </si>
  <si>
    <t>AIR-113</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</si>
  <si>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40,000 บีทียู</t>
  </si>
  <si>
    <t>AIR-114</t>
  </si>
  <si>
    <t>เครื่องปรับปรุงคุณภาพอากาศ สำหรับห้องด้วยวิธีแลกเปลี่ยนและเติมอากาศใหม่ (PROTECTIVE ENVIRONMENT) Fresh Air 100% แบบ Inverter ขนาด 15,000 บีทียู</t>
  </si>
  <si>
    <t>ฉบับ ส.ค. 65</t>
  </si>
  <si>
    <t>มิถุนายน 2564 – มิถุนายน 2572 (8 ปี)</t>
  </si>
  <si>
    <t>AIR-118</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</si>
  <si>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</si>
  <si>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กุมภาพันธ์ 2566 – กุมภาพันธ์ 2574 (8 ปี)</t>
  </si>
  <si>
    <t>AIR-119</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</si>
  <si>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</si>
  <si>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AIR-120</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</si>
  <si>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</si>
  <si>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AIR-121</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</si>
  <si>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</si>
  <si>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ครุภัณฑ์ก่อสร้าง</t>
  </si>
  <si>
    <t>COE-1</t>
  </si>
  <si>
    <t>เครื่องผสมคอนกรีต ชนิดเหล็กเหนียว</t>
  </si>
  <si>
    <t>COE-2</t>
  </si>
  <si>
    <t>เครื่องผสมคอนกรีต ชนิดเหล็กหล่อ</t>
  </si>
  <si>
    <t>COE-3</t>
  </si>
  <si>
    <t>เครื่องสั่นคอนกรีต ขนาด 25 มิลลิเมตร</t>
  </si>
  <si>
    <t>COE-4</t>
  </si>
  <si>
    <t>เครื่องสั่นคอนกรีต ขนาด 38 มิลลิเมตร</t>
  </si>
  <si>
    <t>COE-5</t>
  </si>
  <si>
    <t>เครื่องสั่นคอนกรีต ขนาด 45 มิลลิเมตร</t>
  </si>
  <si>
    <t>COE-6</t>
  </si>
  <si>
    <t>เครื่องตบดิน</t>
  </si>
  <si>
    <t>COE-7</t>
  </si>
  <si>
    <t>รถขุดตีนตะขาบ ขนาด 120 แรงม้า</t>
  </si>
  <si>
    <t>COE-8</t>
  </si>
  <si>
    <t>รถขุดตีนตะขาบ ขนาด 150 แรงม้า</t>
  </si>
  <si>
    <t>COE-9</t>
  </si>
  <si>
    <t>รถขุดตีนตะขาบ ขนาด 200 แรงม้า</t>
  </si>
  <si>
    <t>COE-10</t>
  </si>
  <si>
    <t>รถตักหน้าขุดหลัง ชนิดขับเคลื่อน 2 ล้อ</t>
  </si>
  <si>
    <t>COE-11</t>
  </si>
  <si>
    <t>รถตักหน้าขุดหลัง ชนิดขับเคลื่อน 4 ล้อ</t>
  </si>
  <si>
    <t>COE-12</t>
  </si>
  <si>
    <t>รถตักล้อยาง ขนาด 100 แรงม้า</t>
  </si>
  <si>
    <t>COE-13</t>
  </si>
  <si>
    <t>รถตักล้อยาง ขนาด 150 แรงม้า</t>
  </si>
  <si>
    <t>COE-14</t>
  </si>
  <si>
    <t>รถเกลี่ยดิน ขนาด 150 แรงม้า</t>
  </si>
  <si>
    <t>COE-15</t>
  </si>
  <si>
    <t>รถบดล้อเหล็ก ขนาด 10 ตัน</t>
  </si>
  <si>
    <t>COE-16</t>
  </si>
  <si>
    <t>เครื่องอัดอากาศ ขนาด 300 ลิตรต่อนาที</t>
  </si>
  <si>
    <t>COE-38</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</si>
  <si>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</si>
  <si>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ฉบับ มี.ค. 68</t>
  </si>
  <si>
    <t>เมษายน 2563 - เมษายน 2570 (7 ปี)</t>
  </si>
  <si>
    <t>COE-39</t>
  </si>
  <si>
    <t>ระบบผลิตน้ำประปา (iWater Treatment Plant) นทีไอวอเตอร์ระบบขนาดเล็ก NTi 5 รองรับ 1 - 245 ครัวเรือน กำลังการผลิต 5 ลูกบาศก์เมตร/ชั่วโมง</t>
  </si>
  <si>
    <t>พฤษภาคม 2565 - พฤษภาคม 2572 (7 ปี)</t>
  </si>
  <si>
    <t>COE-40</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</si>
  <si>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</si>
  <si>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COE-41</t>
  </si>
  <si>
    <t>ระบบผลิตน้ำประปา (iWater Treatment Plant) นทีไอวอเตอร์ระบบขนาดใหญ่ NTi 20 รองรับ 1 - 840 ครัวเรือน กำลังการผลิต 20 ลูกบาศก์เมตร/ชั่วโมง</t>
  </si>
  <si>
    <t>COE-42</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</si>
  <si>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</si>
  <si>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COE-43</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</si>
  <si>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</si>
  <si>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COE-44</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</si>
  <si>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</si>
  <si>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COE-45</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</si>
  <si>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</si>
  <si>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ฉบับ ส.ค. 66</t>
  </si>
  <si>
    <t>สิงหาคม 2566 – สิงหาคม 2571 (5 ปี)</t>
  </si>
  <si>
    <t>COE-46</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</si>
  <si>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</si>
  <si>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COE-47</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</si>
  <si>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</si>
  <si>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COE-48</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</si>
  <si>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</si>
  <si>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COE-49</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</si>
  <si>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</si>
  <si>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COE-50</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</si>
  <si>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</si>
  <si>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</si>
  <si>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ฉบับ ต.ค. 65</t>
  </si>
  <si>
    <t>COE-51</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</si>
  <si>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</si>
  <si>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COE-52</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</si>
  <si>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</si>
  <si>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COE-53</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</si>
  <si>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</si>
  <si>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กันยายน 2565 – กันยายน 2573 (8 ปี)</t>
  </si>
  <si>
    <t>ครุภัณฑ์สำรวจ</t>
  </si>
  <si>
    <t>SE-1</t>
  </si>
  <si>
    <t>กล้องระดับ ขนาดกำลังขยาย 24 เท่า</t>
  </si>
  <si>
    <t>SE-2</t>
  </si>
  <si>
    <t>กล้องระดับ ขนาดกำลังขยาย 30 เท่า</t>
  </si>
  <si>
    <t>SE-4</t>
  </si>
  <si>
    <t>กล้องวัดมุม แบบอิเล็กทรอนิกส์ ชนิดอ่านค่ามุมได้ละเอียด 5 พิลิปดา (ระบบอัตโนมัติ)</t>
  </si>
  <si>
    <t>SE-5</t>
  </si>
  <si>
    <t>กล้องวัดมุม แบบอิเล็กทรอนิกส์ ชนิดอ่านค่ามุมได้ละเอียด 5 พิลิปดา</t>
  </si>
  <si>
    <t>SE-6</t>
  </si>
  <si>
    <t>กล้องวัดมุม แบบอิเล็กทรอนิกส์ ชนิดอ่านค่ามุมได้ละเอียด 10 พิลิปดา</t>
  </si>
  <si>
    <t>SE-7</t>
  </si>
  <si>
    <t>กล้องวัดมุม แบบอิเล็กทรอนิกส์ ชนิดอ่านค่ามุมได้ละเอียด 20 พิลิปดา</t>
  </si>
  <si>
    <t>SE-8</t>
  </si>
  <si>
    <t>เครื่องหาพิกัดด้วยสัญญาณดาวเทียมแบบพกพา</t>
  </si>
  <si>
    <t>SE-9</t>
  </si>
  <si>
    <t>เครื่องตรวจจับโลหะใต้ดิน</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</si>
  <si>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</si>
  <si>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ชื่อรายการ</t>
  </si>
  <si>
    <t>ลำดับ</t>
  </si>
  <si>
    <t/>
  </si>
  <si>
    <t>ใช้</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</si>
</sst>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 #,##0_-;\-* #,##0_-;_-* &quot;-&quot;??_-;_-@"/>
    <numFmt numFmtId="165" formatCode="mmm\ yy"/>
    <numFmt numFmtId="166" formatCode="_-* #,##0_-;\-* #,##0_-;_-* &quot;-&quot;_-;_-@"/>
  </numFmts>
  <fonts count="28">
    <font>
      <sz val="11.0"/>
      <color theme="1"/>
      <name val="Calibri"/>
      <scheme val="minor"/>
    </font>
    <font>
      <color rgb="FF222222"/>
      <name val="Arial"/>
    </font>
    <font>
      <u/>
      <color rgb="FF0563C1"/>
    </font>
    <font>
      <color theme="1"/>
      <name val="Calibri"/>
      <scheme val="minor"/>
    </font>
    <font>
      <b/>
      <sz val="36.0"/>
      <color theme="1"/>
      <name val="TH Sarabun PSK"/>
    </font>
    <font>
      <sz val="20.0"/>
      <color theme="1"/>
      <name val="TH Sarabun PSK"/>
    </font>
    <font/>
    <font>
      <sz val="11.0"/>
      <color theme="1"/>
      <name val="Tahoma"/>
    </font>
    <font>
      <b/>
      <sz val="26.0"/>
      <color theme="1"/>
      <name val="TH Sarabun PSK"/>
    </font>
    <font>
      <b/>
      <sz val="24.0"/>
      <color theme="1"/>
      <name val="TH Sarabun PSK"/>
    </font>
    <font>
      <sz val="24.0"/>
      <color theme="1"/>
      <name val="TH Sarabun PSK"/>
    </font>
    <font>
      <b/>
      <sz val="16.0"/>
      <color theme="1"/>
      <name val="TH Sarabun PSK"/>
    </font>
    <font>
      <sz val="16.0"/>
      <color theme="1"/>
      <name val="TH Sarabun PSK"/>
    </font>
    <font>
      <b/>
      <sz val="14.0"/>
      <color theme="1"/>
      <name val="TH Sarabun PSK"/>
    </font>
    <font>
      <sz val="14.0"/>
      <color theme="1"/>
      <name val="TH Sarabun PSK"/>
    </font>
    <font>
      <b/>
      <sz val="26.0"/>
      <color theme="1"/>
      <name val="TH SarabunPSK"/>
    </font>
    <font>
      <sz val="22.0"/>
      <color theme="1"/>
      <name val="TH SarabunPSK"/>
    </font>
    <font>
      <b/>
      <sz val="28.0"/>
      <color theme="1"/>
      <name val="TH SarabunPSK"/>
    </font>
    <font>
      <sz val="24.0"/>
      <color theme="1"/>
      <name val="TH SarabunPSK"/>
    </font>
    <font>
      <b/>
      <sz val="22.0"/>
      <color theme="1"/>
      <name val="TH SarabunPSK"/>
    </font>
    <font>
      <b/>
      <u/>
      <sz val="22.0"/>
      <color theme="1"/>
      <name val="TH SarabunPSK"/>
    </font>
    <font>
      <b/>
      <u/>
      <sz val="22.0"/>
      <color theme="1"/>
      <name val="TH SarabunPSK"/>
    </font>
    <font>
      <b/>
      <u/>
      <sz val="22.0"/>
      <color theme="1"/>
      <name val="TH SarabunPSK"/>
    </font>
    <font>
      <b/>
      <u/>
      <sz val="22.0"/>
      <color theme="1"/>
      <name val="TH SarabunPSK"/>
    </font>
    <font>
      <b/>
      <u/>
      <sz val="22.0"/>
      <color theme="1"/>
      <name val="TH SarabunPSK"/>
    </font>
    <font>
      <b/>
      <u/>
      <sz val="22.0"/>
      <color theme="1"/>
      <name val="TH SarabunPSK"/>
    </font>
    <font>
      <b/>
      <u/>
      <sz val="22.0"/>
      <color theme="1"/>
      <name val="TH SarabunPSK"/>
    </font>
    <font>
      <sz val="20.0"/>
      <color theme="1"/>
      <name val="Calibri"/>
      <scheme val="minor"/>
    </font>
  </fonts>
  <fills count="11">
    <fill>
      <patternFill patternType="none"/>
    </fill>
    <fill>
      <patternFill patternType="lightGray"/>
    </fill>
    <fill>
      <patternFill patternType="solid">
        <fgColor rgb="FFFFFFFF"/>
        <bgColor rgb="FFFFFFFF"/>
      </patternFill>
    </fill>
    <fill>
      <patternFill patternType="solid">
        <fgColor rgb="FFCDECFF"/>
        <bgColor rgb="FFCDECFF"/>
      </patternFill>
    </fill>
    <fill>
      <patternFill patternType="solid">
        <fgColor rgb="FFCCECFF"/>
        <bgColor rgb="FFCCECFF"/>
      </patternFill>
    </fill>
    <fill>
      <patternFill patternType="solid">
        <fgColor rgb="FFFFCCCC"/>
        <bgColor rgb="FFFFCCCC"/>
      </patternFill>
    </fill>
    <fill>
      <patternFill patternType="solid">
        <fgColor rgb="FFE7E6E6"/>
        <bgColor rgb="FFE7E6E6"/>
      </patternFill>
    </fill>
    <fill>
      <patternFill patternType="solid">
        <fgColor rgb="FFE2EFD9"/>
        <bgColor rgb="FFE2EFD9"/>
      </patternFill>
    </fill>
    <fill>
      <patternFill patternType="solid">
        <fgColor rgb="FFBDD6EE"/>
        <bgColor rgb="FFBDD6EE"/>
      </patternFill>
    </fill>
    <fill>
      <patternFill patternType="solid">
        <fgColor rgb="FFFF9900"/>
        <bgColor rgb="FFFF9900"/>
      </patternFill>
    </fill>
    <fill>
      <patternFill patternType="solid">
        <fgColor rgb="FFB7B7B7"/>
        <bgColor rgb="FFB7B7B7"/>
      </patternFill>
    </fill>
  </fills>
  <borders count="10">
    <border/>
    <border>
      <left style="medium">
        <color rgb="FF000000"/>
      </left>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medium">
        <color rgb="FF000000"/>
      </right>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88">
    <xf borderId="0" fillId="0" fontId="0" numFmtId="0" xfId="0" applyAlignment="1" applyFont="1">
      <alignment readingOrder="0" shrinkToFit="0" vertical="bottom" wrapText="0"/>
    </xf>
    <xf borderId="0" fillId="2" fontId="1" numFmtId="0" xfId="0" applyAlignment="1" applyFill="1" applyFont="1">
      <alignment readingOrder="0"/>
    </xf>
    <xf borderId="0" fillId="0" fontId="2" numFmtId="0" xfId="0" applyAlignment="1" applyFont="1">
      <alignment readingOrder="0"/>
    </xf>
    <xf borderId="0" fillId="0" fontId="3" numFmtId="0" xfId="0" applyFont="1"/>
    <xf borderId="0" fillId="0" fontId="3" numFmtId="0" xfId="0" applyAlignment="1" applyFont="1">
      <alignment readingOrder="0"/>
    </xf>
    <xf borderId="1" fillId="3" fontId="4" numFmtId="0" xfId="0" applyAlignment="1" applyBorder="1" applyFill="1" applyFont="1">
      <alignment horizontal="center" vertical="center"/>
    </xf>
    <xf borderId="2" fillId="0" fontId="5" numFmtId="0" xfId="0" applyAlignment="1" applyBorder="1" applyFont="1">
      <alignment horizontal="left" shrinkToFit="0" vertical="top" wrapText="1"/>
    </xf>
    <xf borderId="3" fillId="0" fontId="6" numFmtId="0" xfId="0" applyBorder="1" applyFont="1"/>
    <xf borderId="0" fillId="0" fontId="7" numFmtId="0" xfId="0" applyFont="1"/>
    <xf borderId="4" fillId="0" fontId="6" numFmtId="0" xfId="0" applyBorder="1" applyFont="1"/>
    <xf borderId="0" fillId="0" fontId="5" numFmtId="0" xfId="0" applyAlignment="1" applyFont="1">
      <alignment shrinkToFit="0" vertical="top" wrapText="1"/>
    </xf>
    <xf borderId="0" fillId="0" fontId="8" numFmtId="0" xfId="0" applyAlignment="1" applyFont="1">
      <alignment horizontal="left" vertical="top"/>
    </xf>
    <xf borderId="0" fillId="0" fontId="9" numFmtId="0" xfId="0" applyAlignment="1" applyFont="1">
      <alignment horizontal="center"/>
    </xf>
    <xf borderId="0" fillId="0" fontId="10" numFmtId="0" xfId="0" applyFont="1"/>
    <xf borderId="0" fillId="0" fontId="10" numFmtId="0" xfId="0" applyAlignment="1" applyFont="1">
      <alignment horizontal="center"/>
    </xf>
    <xf borderId="0" fillId="0" fontId="10" numFmtId="49" xfId="0" applyAlignment="1" applyFont="1" applyNumberFormat="1">
      <alignment horizontal="center" vertical="top"/>
    </xf>
    <xf borderId="5" fillId="4" fontId="11" numFmtId="0" xfId="0" applyAlignment="1" applyBorder="1" applyFill="1" applyFont="1">
      <alignment horizontal="center" shrinkToFit="0" vertical="top" wrapText="1"/>
    </xf>
    <xf borderId="5" fillId="4" fontId="11" numFmtId="49" xfId="0" applyAlignment="1" applyBorder="1" applyFont="1" applyNumberFormat="1">
      <alignment horizontal="center" shrinkToFit="0" vertical="top" wrapText="1"/>
    </xf>
    <xf borderId="5" fillId="5" fontId="11" numFmtId="49" xfId="0" applyAlignment="1" applyBorder="1" applyFill="1" applyFont="1" applyNumberFormat="1">
      <alignment horizontal="center" shrinkToFit="0" vertical="top" wrapText="1"/>
    </xf>
    <xf borderId="0" fillId="0" fontId="12" numFmtId="0" xfId="0" applyAlignment="1" applyFont="1">
      <alignment shrinkToFit="0" wrapText="1"/>
    </xf>
    <xf borderId="6" fillId="6" fontId="11" numFmtId="0" xfId="0" applyAlignment="1" applyBorder="1" applyFill="1" applyFont="1">
      <alignment horizontal="center"/>
    </xf>
    <xf borderId="5" fillId="6" fontId="11" numFmtId="0" xfId="0" applyAlignment="1" applyBorder="1" applyFont="1">
      <alignment horizontal="center"/>
    </xf>
    <xf borderId="5" fillId="6" fontId="11" numFmtId="164" xfId="0" applyAlignment="1" applyBorder="1" applyFont="1" applyNumberFormat="1">
      <alignment horizontal="center" vertical="top"/>
    </xf>
    <xf borderId="0" fillId="0" fontId="12" numFmtId="0" xfId="0" applyFont="1"/>
    <xf borderId="7" fillId="0" fontId="13" numFmtId="0" xfId="0" applyAlignment="1" applyBorder="1" applyFont="1">
      <alignment horizontal="center" vertical="top"/>
    </xf>
    <xf borderId="5" fillId="0" fontId="13" numFmtId="0" xfId="0" applyAlignment="1" applyBorder="1" applyFont="1">
      <alignment horizontal="center" vertical="top"/>
    </xf>
    <xf borderId="5" fillId="0" fontId="14" numFmtId="0" xfId="0" applyBorder="1" applyFont="1"/>
    <xf borderId="5" fillId="0" fontId="14" numFmtId="0" xfId="0" applyAlignment="1" applyBorder="1" applyFont="1">
      <alignment horizontal="center"/>
    </xf>
    <xf borderId="5" fillId="0" fontId="14" numFmtId="49" xfId="0" applyAlignment="1" applyBorder="1" applyFont="1" applyNumberFormat="1">
      <alignment horizontal="center" vertical="top"/>
    </xf>
    <xf borderId="0" fillId="0" fontId="14" numFmtId="0" xfId="0" applyFont="1"/>
    <xf borderId="0" fillId="0" fontId="14" numFmtId="49" xfId="0" applyFont="1" applyNumberFormat="1"/>
    <xf borderId="8" fillId="0" fontId="6" numFmtId="0" xfId="0" applyBorder="1" applyFont="1"/>
    <xf borderId="9" fillId="0" fontId="6" numFmtId="0" xfId="0" applyBorder="1" applyFont="1"/>
    <xf borderId="5" fillId="0" fontId="13" numFmtId="0" xfId="0" applyAlignment="1" applyBorder="1" applyFont="1">
      <alignment horizontal="left"/>
    </xf>
    <xf borderId="7" fillId="0" fontId="13" numFmtId="0" xfId="0" applyAlignment="1" applyBorder="1" applyFont="1">
      <alignment horizontal="left" vertical="top"/>
    </xf>
    <xf borderId="5" fillId="0" fontId="14" numFmtId="0" xfId="0" applyAlignment="1" applyBorder="1" applyFont="1">
      <alignment horizontal="center" vertical="top"/>
    </xf>
    <xf borderId="5" fillId="0" fontId="13" numFmtId="0" xfId="0" applyAlignment="1" applyBorder="1" applyFont="1">
      <alignment horizontal="left" vertical="top"/>
    </xf>
    <xf borderId="0" fillId="0" fontId="13" numFmtId="0" xfId="0" applyAlignment="1" applyFont="1">
      <alignment horizontal="left"/>
    </xf>
    <xf borderId="0" fillId="0" fontId="13" numFmtId="0" xfId="0" applyAlignment="1" applyFont="1">
      <alignment horizontal="center"/>
    </xf>
    <xf borderId="0" fillId="0" fontId="14" numFmtId="0" xfId="0" applyAlignment="1" applyFont="1">
      <alignment horizontal="center"/>
    </xf>
    <xf borderId="0" fillId="0" fontId="14" numFmtId="49" xfId="0" applyAlignment="1" applyFont="1" applyNumberFormat="1">
      <alignment horizontal="center" vertical="top"/>
    </xf>
    <xf borderId="0" fillId="0" fontId="15" numFmtId="0" xfId="0" applyAlignment="1" applyFont="1">
      <alignment horizontal="left" vertical="top"/>
    </xf>
    <xf borderId="0" fillId="0" fontId="16" numFmtId="0" xfId="0" applyAlignment="1" applyFont="1">
      <alignment shrinkToFit="0" vertical="top" wrapText="1"/>
    </xf>
    <xf borderId="0" fillId="0" fontId="16" numFmtId="164" xfId="0" applyAlignment="1" applyFont="1" applyNumberFormat="1">
      <alignment shrinkToFit="0" vertical="top" wrapText="1"/>
    </xf>
    <xf borderId="0" fillId="0" fontId="16" numFmtId="0" xfId="0" applyAlignment="1" applyFont="1">
      <alignment vertical="top"/>
    </xf>
    <xf borderId="0" fillId="0" fontId="16" numFmtId="0" xfId="0" applyAlignment="1" applyFont="1">
      <alignment horizontal="left" vertical="top"/>
    </xf>
    <xf borderId="0" fillId="0" fontId="17" numFmtId="164" xfId="0" applyAlignment="1" applyFont="1" applyNumberFormat="1">
      <alignment shrinkToFit="0" vertical="top" wrapText="1"/>
    </xf>
    <xf borderId="0" fillId="0" fontId="18" numFmtId="0" xfId="0" applyAlignment="1" applyFont="1">
      <alignment vertical="top"/>
    </xf>
    <xf borderId="5" fillId="7" fontId="19" numFmtId="0" xfId="0" applyAlignment="1" applyBorder="1" applyFill="1" applyFont="1">
      <alignment horizontal="center" shrinkToFit="0" vertical="top" wrapText="1"/>
    </xf>
    <xf borderId="5" fillId="7" fontId="19" numFmtId="164" xfId="0" applyAlignment="1" applyBorder="1" applyFont="1" applyNumberFormat="1">
      <alignment horizontal="center" shrinkToFit="0" vertical="top" wrapText="1"/>
    </xf>
    <xf borderId="5" fillId="7" fontId="19" numFmtId="0" xfId="0" applyAlignment="1" applyBorder="1" applyFont="1">
      <alignment horizontal="center" vertical="top"/>
    </xf>
    <xf borderId="0" fillId="0" fontId="19" numFmtId="0" xfId="0" applyAlignment="1" applyFont="1">
      <alignment horizontal="center" shrinkToFit="0" vertical="top" wrapText="1"/>
    </xf>
    <xf borderId="5" fillId="8" fontId="20" numFmtId="0" xfId="0" applyAlignment="1" applyBorder="1" applyFill="1" applyFont="1">
      <alignment horizontal="left" shrinkToFit="0" vertical="top" wrapText="1"/>
    </xf>
    <xf borderId="5" fillId="8" fontId="21" numFmtId="164" xfId="0" applyAlignment="1" applyBorder="1" applyFont="1" applyNumberFormat="1">
      <alignment shrinkToFit="0" vertical="top" wrapText="1"/>
    </xf>
    <xf borderId="5" fillId="8" fontId="22" numFmtId="0" xfId="0" applyAlignment="1" applyBorder="1" applyFont="1">
      <alignment shrinkToFit="0" vertical="top" wrapText="1"/>
    </xf>
    <xf borderId="5" fillId="8" fontId="23" numFmtId="0" xfId="0" applyAlignment="1" applyBorder="1" applyFont="1">
      <alignment vertical="top"/>
    </xf>
    <xf borderId="0" fillId="0" fontId="24" numFmtId="0" xfId="0" applyAlignment="1" applyFont="1">
      <alignment shrinkToFit="0" vertical="top" wrapText="1"/>
    </xf>
    <xf borderId="5" fillId="0" fontId="16" numFmtId="0" xfId="0" applyAlignment="1" applyBorder="1" applyFont="1">
      <alignment horizontal="left" shrinkToFit="0" vertical="top" wrapText="1"/>
    </xf>
    <xf borderId="5" fillId="0" fontId="16" numFmtId="164" xfId="0" applyAlignment="1" applyBorder="1" applyFont="1" applyNumberFormat="1">
      <alignment horizontal="right" shrinkToFit="0" vertical="top" wrapText="1"/>
    </xf>
    <xf borderId="5" fillId="0" fontId="16" numFmtId="0" xfId="0" applyAlignment="1" applyBorder="1" applyFont="1">
      <alignment horizontal="left" vertical="top"/>
    </xf>
    <xf borderId="5" fillId="0" fontId="16" numFmtId="49" xfId="0" applyAlignment="1" applyBorder="1" applyFont="1" applyNumberFormat="1">
      <alignment horizontal="left" vertical="top"/>
    </xf>
    <xf borderId="5" fillId="0" fontId="16" numFmtId="0" xfId="0" applyAlignment="1" applyBorder="1" applyFont="1">
      <alignment shrinkToFit="0" vertical="top" wrapText="1"/>
    </xf>
    <xf borderId="5" fillId="8" fontId="25" numFmtId="164" xfId="0" applyAlignment="1" applyBorder="1" applyFont="1" applyNumberFormat="1">
      <alignment horizontal="right" shrinkToFit="0" vertical="top" wrapText="1"/>
    </xf>
    <xf borderId="5" fillId="8" fontId="26" numFmtId="0" xfId="0" applyAlignment="1" applyBorder="1" applyFont="1">
      <alignment horizontal="left" vertical="top"/>
    </xf>
    <xf borderId="5" fillId="0" fontId="16" numFmtId="49" xfId="0" applyAlignment="1" applyBorder="1" applyFont="1" applyNumberFormat="1">
      <alignment horizontal="left" shrinkToFit="0" vertical="top" wrapText="1"/>
    </xf>
    <xf borderId="5" fillId="0" fontId="16" numFmtId="3" xfId="0" applyAlignment="1" applyBorder="1" applyFont="1" applyNumberFormat="1">
      <alignment horizontal="right" vertical="top"/>
    </xf>
    <xf borderId="5" fillId="0" fontId="16" numFmtId="164" xfId="0" applyAlignment="1" applyBorder="1" applyFont="1" applyNumberFormat="1">
      <alignment horizontal="right" vertical="top"/>
    </xf>
    <xf borderId="5" fillId="0" fontId="16" numFmtId="165" xfId="0" applyAlignment="1" applyBorder="1" applyFont="1" applyNumberFormat="1">
      <alignment shrinkToFit="0" vertical="top" wrapText="1"/>
    </xf>
    <xf borderId="5" fillId="0" fontId="16" numFmtId="3" xfId="0" applyAlignment="1" applyBorder="1" applyFont="1" applyNumberFormat="1">
      <alignment horizontal="right" shrinkToFit="0" vertical="top" wrapText="1"/>
    </xf>
    <xf borderId="5" fillId="0" fontId="16" numFmtId="166" xfId="0" applyAlignment="1" applyBorder="1" applyFont="1" applyNumberFormat="1">
      <alignment horizontal="right" vertical="top"/>
    </xf>
    <xf borderId="5" fillId="0" fontId="16" numFmtId="164" xfId="0" applyAlignment="1" applyBorder="1" applyFont="1" applyNumberFormat="1">
      <alignment horizontal="left" shrinkToFit="0" vertical="top" wrapText="1"/>
    </xf>
    <xf borderId="5" fillId="0" fontId="16" numFmtId="166" xfId="0" applyAlignment="1" applyBorder="1" applyFont="1" applyNumberFormat="1">
      <alignment horizontal="right" shrinkToFit="0" vertical="top" wrapText="1"/>
    </xf>
    <xf borderId="5" fillId="0" fontId="19" numFmtId="0" xfId="0" applyAlignment="1" applyBorder="1" applyFont="1">
      <alignment horizontal="left" shrinkToFit="0" vertical="top" wrapText="1"/>
    </xf>
    <xf borderId="5" fillId="8" fontId="16" numFmtId="0" xfId="0" applyAlignment="1" applyBorder="1" applyFont="1">
      <alignment horizontal="left" shrinkToFit="0" vertical="top" wrapText="1"/>
    </xf>
    <xf borderId="5" fillId="8" fontId="16" numFmtId="164" xfId="0" applyAlignment="1" applyBorder="1" applyFont="1" applyNumberFormat="1">
      <alignment horizontal="right" shrinkToFit="0" vertical="top" wrapText="1"/>
    </xf>
    <xf borderId="5" fillId="8" fontId="16" numFmtId="0" xfId="0" applyAlignment="1" applyBorder="1" applyFont="1">
      <alignment horizontal="left" vertical="top"/>
    </xf>
    <xf borderId="5" fillId="8" fontId="16" numFmtId="0" xfId="0" applyAlignment="1" applyBorder="1" applyFont="1">
      <alignment shrinkToFit="0" vertical="top" wrapText="1"/>
    </xf>
    <xf borderId="0" fillId="0" fontId="3" numFmtId="0" xfId="0" applyAlignment="1" applyFont="1">
      <alignment horizontal="center"/>
    </xf>
    <xf borderId="0" fillId="0" fontId="27" numFmtId="0" xfId="0" applyAlignment="1" applyFont="1">
      <alignment horizontal="center"/>
    </xf>
    <xf borderId="0" fillId="0" fontId="27" numFmtId="0" xfId="0" applyFont="1"/>
    <xf borderId="0" fillId="0" fontId="27" numFmtId="0" xfId="0" applyAlignment="1" applyFont="1">
      <alignment horizontal="right" readingOrder="0"/>
    </xf>
    <xf borderId="0" fillId="9" fontId="27" numFmtId="0" xfId="0" applyAlignment="1" applyFill="1" applyFont="1">
      <alignment readingOrder="0"/>
    </xf>
    <xf borderId="0" fillId="10" fontId="3" numFmtId="0" xfId="0" applyAlignment="1" applyFill="1" applyFont="1">
      <alignment horizontal="center"/>
    </xf>
    <xf borderId="0" fillId="10" fontId="3" numFmtId="0" xfId="0" applyFont="1"/>
    <xf borderId="5" fillId="7" fontId="19" numFmtId="0" xfId="0" applyAlignment="1" applyBorder="1" applyFont="1">
      <alignment horizontal="center" readingOrder="0" shrinkToFit="0" vertical="top" wrapText="1"/>
    </xf>
    <xf borderId="0" fillId="0" fontId="3" numFmtId="164" xfId="0" applyFont="1" applyNumberFormat="1"/>
    <xf borderId="0" fillId="0" fontId="3" numFmtId="49" xfId="0" applyFont="1" applyNumberFormat="1"/>
    <xf borderId="0" fillId="0" fontId="3" numFmtId="165"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10" Type="http://schemas.openxmlformats.org/officeDocument/2006/relationships/worksheet" Target="worksheets/sheet6.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057900" cy="100488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uc?export=download&amp;id=1RhWqbGehYEtQZOMtZPVoiP2NNE-hcjUl"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sheetViews>
  <sheetFormatPr customHeight="1" defaultColWidth="14.43" defaultRowHeight="15.0"/>
  <cols>
    <col customWidth="1" min="1" max="26" width="8.71"/>
  </cols>
  <sheetData>
    <row r="1" ht="14.25" customHeight="1"/>
    <row r="2" ht="14.25" customHeight="1"/>
    <row r="3" ht="14.25" customHeight="1"/>
    <row r="4" ht="14.25" customHeight="1">
      <c r="M4" s="1" t="s">
        <v>0</v>
      </c>
    </row>
    <row r="5" ht="14.25" customHeight="1">
      <c r="M5" s="2" t="s">
        <v>1</v>
      </c>
    </row>
    <row r="6" ht="14.25" customHeight="1"/>
    <row r="7" ht="14.25" customHeight="1"/>
    <row r="8" ht="14.25" customHeight="1"/>
    <row r="9" ht="14.25" customHeight="1"/>
    <row r="10" ht="14.25" customHeight="1"/>
    <row r="11" ht="14.25" customHeight="1"/>
    <row r="12" ht="14.25" customHeight="1"/>
    <row r="13" ht="14.25" customHeight="1"/>
    <row r="14" ht="14.25" customHeight="1">
      <c r="U14" s="3" t="str">
        <f t="shared" ref="U14:U69" si="1">V14&amp;". "&amp;W14</f>
        <v>1. กลุ่มการพยาบาล</v>
      </c>
      <c r="V14" s="4">
        <v>1.0</v>
      </c>
      <c r="W14" s="4" t="s">
        <v>2</v>
      </c>
    </row>
    <row r="15" ht="14.25" customHeight="1">
      <c r="U15" s="3" t="str">
        <f t="shared" si="1"/>
        <v>2. กลุ่มงานการเงิน</v>
      </c>
      <c r="V15" s="4">
        <v>2.0</v>
      </c>
      <c r="W15" s="4" t="s">
        <v>3</v>
      </c>
    </row>
    <row r="16" ht="14.25" customHeight="1">
      <c r="U16" s="3" t="str">
        <f t="shared" si="1"/>
        <v>3. กลุ่มงานการพยาบาลชุมชน</v>
      </c>
      <c r="V16" s="4">
        <v>3.0</v>
      </c>
      <c r="W16" s="4" t="s">
        <v>4</v>
      </c>
    </row>
    <row r="17" ht="14.25" customHeight="1">
      <c r="U17" s="3" t="str">
        <f t="shared" si="1"/>
        <v>4. กลุ่มงานการแพทย์แผนไทยและการแพทย์ทางเลือก</v>
      </c>
      <c r="V17" s="4">
        <v>4.0</v>
      </c>
      <c r="W17" s="4" t="s">
        <v>5</v>
      </c>
    </row>
    <row r="18" ht="14.25" customHeight="1">
      <c r="U18" s="3" t="str">
        <f t="shared" si="1"/>
        <v>5. กลุ่มงานกุมารเวชกรรม</v>
      </c>
      <c r="V18" s="4">
        <v>5.0</v>
      </c>
      <c r="W18" s="4" t="s">
        <v>6</v>
      </c>
    </row>
    <row r="19" ht="14.25" customHeight="1">
      <c r="U19" s="3" t="str">
        <f t="shared" si="1"/>
        <v>6. กลุ่มงานโครงสร้างพื้นฐานและวิศวกรรมทางการแพทย์</v>
      </c>
      <c r="V19" s="4">
        <v>6.0</v>
      </c>
      <c r="W19" s="4" t="s">
        <v>7</v>
      </c>
    </row>
    <row r="20" ht="14.25" customHeight="1">
      <c r="U20" s="3" t="str">
        <f t="shared" si="1"/>
        <v>7. กลุ่มงานจักษุวิทยา</v>
      </c>
      <c r="V20" s="4">
        <v>7.0</v>
      </c>
      <c r="W20" s="4" t="s">
        <v>8</v>
      </c>
    </row>
    <row r="21" ht="14.25" customHeight="1">
      <c r="U21" s="3" t="str">
        <f t="shared" si="1"/>
        <v>8. กลุ่มงานจิตเวชและยาเสพติด</v>
      </c>
      <c r="V21" s="4">
        <v>8.0</v>
      </c>
      <c r="W21" s="4" t="s">
        <v>9</v>
      </c>
    </row>
    <row r="22" ht="14.25" customHeight="1">
      <c r="U22" s="3" t="str">
        <f t="shared" si="1"/>
        <v>9. กลุ่มงานทรัพยากรบุคคล</v>
      </c>
      <c r="V22" s="4">
        <v>9.0</v>
      </c>
      <c r="W22" s="4" t="s">
        <v>10</v>
      </c>
    </row>
    <row r="23" ht="14.25" customHeight="1">
      <c r="U23" s="3" t="str">
        <f t="shared" si="1"/>
        <v>10. กลุ่มงานพัฒนาคุณภาพบริการและวิชาการทันตกรรม</v>
      </c>
      <c r="V23" s="4">
        <v>10.0</v>
      </c>
      <c r="W23" s="4" t="s">
        <v>11</v>
      </c>
    </row>
    <row r="24" ht="14.25" customHeight="1">
      <c r="U24" s="3" t="str">
        <f t="shared" si="1"/>
        <v>11. กลุ่มงานเทคนิคการแพทย์</v>
      </c>
      <c r="V24" s="4">
        <v>11.0</v>
      </c>
      <c r="W24" s="4" t="s">
        <v>12</v>
      </c>
    </row>
    <row r="25" ht="14.25" customHeight="1">
      <c r="U25" s="3" t="str">
        <f t="shared" si="1"/>
        <v>12. กลุ่มงานนิติเวช</v>
      </c>
      <c r="V25" s="4">
        <v>12.0</v>
      </c>
      <c r="W25" s="4" t="s">
        <v>13</v>
      </c>
    </row>
    <row r="26" ht="14.25" customHeight="1">
      <c r="U26" s="3" t="str">
        <f t="shared" si="1"/>
        <v>13. กลุ่มงานบริหารทั่วไป</v>
      </c>
      <c r="V26" s="4">
        <v>13.0</v>
      </c>
      <c r="W26" s="4" t="s">
        <v>14</v>
      </c>
    </row>
    <row r="27" ht="14.25" customHeight="1">
      <c r="U27" s="3" t="str">
        <f t="shared" si="1"/>
        <v>14. กลุ่มงานบัญชี</v>
      </c>
      <c r="V27" s="4">
        <v>14.0</v>
      </c>
      <c r="W27" s="4" t="s">
        <v>15</v>
      </c>
    </row>
    <row r="28" ht="14.25" customHeight="1">
      <c r="U28" s="3" t="str">
        <f t="shared" si="1"/>
        <v>15. กลุ่มงานประกันสุขภาพ</v>
      </c>
      <c r="V28" s="4">
        <v>15.0</v>
      </c>
      <c r="W28" s="4" t="s">
        <v>16</v>
      </c>
    </row>
    <row r="29" ht="14.25" customHeight="1">
      <c r="U29" s="3" t="str">
        <f t="shared" si="1"/>
        <v>16. กลุ่มงานผู้ป่วยนอก</v>
      </c>
      <c r="V29" s="4">
        <v>16.0</v>
      </c>
      <c r="W29" s="4" t="s">
        <v>17</v>
      </c>
    </row>
    <row r="30" ht="14.25" customHeight="1">
      <c r="U30" s="3" t="str">
        <f t="shared" si="1"/>
        <v>17. กลุ่มงานพยาธิวิทยากายวิภาค</v>
      </c>
      <c r="V30" s="4">
        <v>17.0</v>
      </c>
      <c r="W30" s="4" t="s">
        <v>18</v>
      </c>
    </row>
    <row r="31" ht="14.25" customHeight="1">
      <c r="U31" s="3" t="str">
        <f t="shared" si="1"/>
        <v>18. กลุ่มงานพัฒนาคุณภาพบริการและมาตรฐาน</v>
      </c>
      <c r="V31" s="4">
        <v>18.0</v>
      </c>
      <c r="W31" s="4" t="s">
        <v>19</v>
      </c>
    </row>
    <row r="32" ht="14.25" customHeight="1">
      <c r="U32" s="3" t="str">
        <f t="shared" si="1"/>
        <v>19. กลุ่มงานพัฒนาทรัพยากรบุคคล</v>
      </c>
      <c r="V32" s="4">
        <v>19.0</v>
      </c>
      <c r="W32" s="4" t="s">
        <v>20</v>
      </c>
    </row>
    <row r="33" ht="14.25" customHeight="1">
      <c r="U33" s="3" t="str">
        <f t="shared" si="1"/>
        <v>20. กลุ่มงานพัสดุ</v>
      </c>
      <c r="V33" s="4">
        <v>20.0</v>
      </c>
      <c r="W33" s="4" t="s">
        <v>21</v>
      </c>
    </row>
    <row r="34" ht="14.25" customHeight="1">
      <c r="U34" s="3" t="str">
        <f t="shared" si="1"/>
        <v>21. กลุ่มงานเภสัชกรรม</v>
      </c>
      <c r="V34" s="4">
        <v>21.0</v>
      </c>
      <c r="W34" s="4" t="s">
        <v>22</v>
      </c>
    </row>
    <row r="35" ht="14.25" customHeight="1">
      <c r="U35" s="3" t="str">
        <f t="shared" si="1"/>
        <v>22. กลุ่มงานโภชนศาสตร์</v>
      </c>
      <c r="V35" s="4">
        <v>22.0</v>
      </c>
      <c r="W35" s="4" t="s">
        <v>23</v>
      </c>
    </row>
    <row r="36" ht="14.25" customHeight="1">
      <c r="U36" s="3" t="str">
        <f t="shared" si="1"/>
        <v>23. กลุ่มงานยุทธศาสตร์และแผนงานโครงการ</v>
      </c>
      <c r="V36" s="4">
        <v>23.0</v>
      </c>
      <c r="W36" s="4" t="s">
        <v>24</v>
      </c>
    </row>
    <row r="37" ht="14.25" customHeight="1">
      <c r="U37" s="3" t="str">
        <f t="shared" si="1"/>
        <v>24. กลุ่มงานรังสีวิทยา</v>
      </c>
      <c r="V37" s="4">
        <v>24.0</v>
      </c>
      <c r="W37" s="4" t="s">
        <v>25</v>
      </c>
    </row>
    <row r="38" ht="14.25" customHeight="1">
      <c r="U38" s="3" t="str">
        <f t="shared" si="1"/>
        <v>25. กลุ่มงานวิสัญญีวิทยา</v>
      </c>
      <c r="V38" s="4">
        <v>25.0</v>
      </c>
      <c r="W38" s="4" t="s">
        <v>26</v>
      </c>
    </row>
    <row r="39" ht="14.25" customHeight="1">
      <c r="U39" s="3" t="str">
        <f t="shared" si="1"/>
        <v>26. กลุ่มงานเวชกรรมฟื้นฟู</v>
      </c>
      <c r="V39" s="4">
        <v>26.0</v>
      </c>
      <c r="W39" s="4" t="s">
        <v>27</v>
      </c>
    </row>
    <row r="40" ht="14.25" customHeight="1">
      <c r="U40" s="3" t="str">
        <f t="shared" si="1"/>
        <v>27. กลุ่มงานเวชกรรมสังคม</v>
      </c>
      <c r="V40" s="4">
        <v>27.0</v>
      </c>
      <c r="W40" s="4" t="s">
        <v>28</v>
      </c>
    </row>
    <row r="41" ht="14.25" customHeight="1">
      <c r="U41" s="3" t="str">
        <f t="shared" si="1"/>
        <v>28. กลุ่มงานเวชศาสตร์ฉุกเฉิน</v>
      </c>
      <c r="V41" s="4">
        <v>28.0</v>
      </c>
      <c r="W41" s="4" t="s">
        <v>29</v>
      </c>
    </row>
    <row r="42" ht="14.25" customHeight="1">
      <c r="U42" s="3" t="str">
        <f t="shared" si="1"/>
        <v>29. กลุ่มงานศัลยกรรม</v>
      </c>
      <c r="V42" s="4">
        <v>29.0</v>
      </c>
      <c r="W42" s="4" t="s">
        <v>30</v>
      </c>
    </row>
    <row r="43" ht="14.25" customHeight="1">
      <c r="U43" s="3" t="str">
        <f t="shared" si="1"/>
        <v>30. กลุ่มงานศัลยกรรมออร์โธปิดิกส์</v>
      </c>
      <c r="V43" s="4">
        <v>30.0</v>
      </c>
      <c r="W43" s="4" t="s">
        <v>31</v>
      </c>
    </row>
    <row r="44" ht="14.25" customHeight="1">
      <c r="U44" s="3" t="str">
        <f t="shared" si="1"/>
        <v>31. กลุ่มงานสังคมสงเคราะห์</v>
      </c>
      <c r="V44" s="4">
        <v>31.0</v>
      </c>
      <c r="W44" s="4" t="s">
        <v>32</v>
      </c>
    </row>
    <row r="45" ht="14.25" customHeight="1">
      <c r="U45" s="3" t="str">
        <f t="shared" si="1"/>
        <v>32. กลุ่มงานสุขศึกษา</v>
      </c>
      <c r="V45" s="4">
        <v>32.0</v>
      </c>
      <c r="W45" s="4" t="s">
        <v>33</v>
      </c>
    </row>
    <row r="46" ht="14.25" customHeight="1">
      <c r="U46" s="3" t="str">
        <f t="shared" si="1"/>
        <v>33. กลุ่มงานสูติ-นรีเวชกรรม</v>
      </c>
      <c r="V46" s="4">
        <v>33.0</v>
      </c>
      <c r="W46" s="4" t="s">
        <v>34</v>
      </c>
    </row>
    <row r="47" ht="14.25" customHeight="1">
      <c r="U47" s="3" t="str">
        <f t="shared" si="1"/>
        <v>34. กลุ่มงานโสต ศอ นาสิก</v>
      </c>
      <c r="V47" s="4">
        <v>34.0</v>
      </c>
      <c r="W47" s="4" t="s">
        <v>35</v>
      </c>
    </row>
    <row r="48" ht="14.25" customHeight="1">
      <c r="U48" s="3" t="str">
        <f t="shared" si="1"/>
        <v>35. กลุ่มงานอาชีวเวชกรรม</v>
      </c>
      <c r="V48" s="4">
        <v>35.0</v>
      </c>
      <c r="W48" s="4" t="s">
        <v>36</v>
      </c>
    </row>
    <row r="49" ht="14.25" customHeight="1">
      <c r="U49" s="3" t="str">
        <f t="shared" si="1"/>
        <v>36. กลุ่มงานอายุรกรรม</v>
      </c>
      <c r="V49" s="4">
        <v>36.0</v>
      </c>
      <c r="W49" s="4" t="s">
        <v>37</v>
      </c>
    </row>
    <row r="50" ht="14.25" customHeight="1">
      <c r="U50" s="3" t="str">
        <f t="shared" si="1"/>
        <v>37. กลุ่มงานเวชระเบียนและข้อมูลทางการแพทย์</v>
      </c>
      <c r="V50" s="4">
        <v>37.0</v>
      </c>
      <c r="W50" s="4" t="s">
        <v>38</v>
      </c>
    </row>
    <row r="51" ht="14.25" customHeight="1">
      <c r="U51" s="3" t="str">
        <f t="shared" si="1"/>
        <v>38. กลุ่มงานเทคโนโลยีสารสนเทศ</v>
      </c>
      <c r="V51" s="4">
        <v>38.0</v>
      </c>
      <c r="W51" s="4" t="s">
        <v>39</v>
      </c>
    </row>
    <row r="52" ht="14.25" customHeight="1">
      <c r="U52" s="3" t="str">
        <f t="shared" si="1"/>
        <v>39. กลุ่มงานสุขภาพดิจิทัล</v>
      </c>
      <c r="V52" s="4">
        <v>39.0</v>
      </c>
      <c r="W52" s="4" t="s">
        <v>40</v>
      </c>
    </row>
    <row r="53" ht="14.25" customHeight="1">
      <c r="U53" s="3" t="str">
        <f t="shared" si="1"/>
        <v>40. กลุ่มงานบริการทันตกรรม ตติยภูมิและศูนย์ความเป็นเลิศ</v>
      </c>
      <c r="V53" s="4">
        <v>40.0</v>
      </c>
      <c r="W53" s="4" t="s">
        <v>41</v>
      </c>
    </row>
    <row r="54" ht="14.25" customHeight="1">
      <c r="U54" s="3" t="str">
        <f t="shared" si="1"/>
        <v>41. กลุ่มงานบริการทันตกรรม ปฐมภูมิและทุติยภูมิ</v>
      </c>
      <c r="V54" s="4">
        <v>41.0</v>
      </c>
      <c r="W54" s="4" t="s">
        <v>42</v>
      </c>
    </row>
    <row r="55" ht="14.25" customHeight="1">
      <c r="U55" s="3" t="str">
        <f t="shared" si="1"/>
        <v>42. งานคลินิกพิเศษเฉพาะทางนอกเวลาราชการ</v>
      </c>
      <c r="V55" s="4">
        <v>42.0</v>
      </c>
      <c r="W55" s="4" t="s">
        <v>43</v>
      </c>
    </row>
    <row r="56" ht="14.25" customHeight="1">
      <c r="U56" s="3" t="str">
        <f t="shared" si="1"/>
        <v>43. ศูนย์แพทยศาสตร์ศึกษาชั้นคลินิก</v>
      </c>
      <c r="V56" s="4">
        <v>43.0</v>
      </c>
      <c r="W56" s="4" t="s">
        <v>44</v>
      </c>
    </row>
    <row r="57" ht="14.25" customHeight="1">
      <c r="U57" s="3" t="str">
        <f t="shared" si="1"/>
        <v>44. ศูนย์รับบริจาคโลหิต</v>
      </c>
      <c r="V57" s="4">
        <v>44.0</v>
      </c>
      <c r="W57" s="4" t="s">
        <v>45</v>
      </c>
    </row>
    <row r="58" ht="14.25" customHeight="1">
      <c r="U58" s="3" t="str">
        <f t="shared" si="1"/>
        <v>45. ศูนย์ความเชี่ยวชาญระดับสูงสาขาทารกแรกเกิด</v>
      </c>
      <c r="V58" s="4">
        <v>45.0</v>
      </c>
      <c r="W58" s="4" t="s">
        <v>46</v>
      </c>
    </row>
    <row r="59" ht="14.25" customHeight="1">
      <c r="U59" s="3" t="str">
        <f t="shared" si="1"/>
        <v>46. ศูนย์ความเชี่ยวชาญระดับสูงสาขามะเร็ง</v>
      </c>
      <c r="V59" s="4">
        <v>46.0</v>
      </c>
      <c r="W59" s="4" t="s">
        <v>47</v>
      </c>
    </row>
    <row r="60" ht="14.25" customHeight="1">
      <c r="U60" s="3" t="str">
        <f t="shared" si="1"/>
        <v>47. ศูนย์ความเชี่ยวชาญระดับสูงสาขาหัวใจ</v>
      </c>
      <c r="V60" s="4">
        <v>47.0</v>
      </c>
      <c r="W60" s="4" t="s">
        <v>48</v>
      </c>
    </row>
    <row r="61" ht="14.25" customHeight="1">
      <c r="U61" s="3" t="str">
        <f t="shared" si="1"/>
        <v>48. ศูนย์ความเชี่ยวชาญระดับสูงสาขาอุบัติเหตุ</v>
      </c>
      <c r="V61" s="4">
        <v>48.0</v>
      </c>
      <c r="W61" s="4" t="s">
        <v>49</v>
      </c>
    </row>
    <row r="62" ht="14.25" customHeight="1">
      <c r="U62" s="3" t="str">
        <f t="shared" si="1"/>
        <v>49. ศูนย์รับบริจาคและปลูกถ่ายอวัยวะ</v>
      </c>
      <c r="V62" s="4">
        <v>49.0</v>
      </c>
      <c r="W62" s="4" t="s">
        <v>50</v>
      </c>
    </row>
    <row r="63" ht="14.25" customHeight="1">
      <c r="U63" s="3" t="str">
        <f t="shared" si="1"/>
        <v>50. ศูนย์ภารกิจด้านเศรษฐกิจการคลัง</v>
      </c>
      <c r="V63" s="4">
        <v>50.0</v>
      </c>
      <c r="W63" s="4" t="s">
        <v>51</v>
      </c>
    </row>
    <row r="64" ht="14.25" customHeight="1">
      <c r="U64" s="3" t="str">
        <f t="shared" si="1"/>
        <v>51. สำนักงานผู้อำนวยการ</v>
      </c>
      <c r="V64" s="4">
        <v>51.0</v>
      </c>
      <c r="W64" s="4" t="s">
        <v>52</v>
      </c>
    </row>
    <row r="65" ht="14.25" customHeight="1">
      <c r="U65" s="3" t="str">
        <f t="shared" si="1"/>
        <v>52. สำนักงานวิจัยและพัฒนา</v>
      </c>
      <c r="V65" s="4">
        <v>52.0</v>
      </c>
      <c r="W65" s="4" t="s">
        <v>53</v>
      </c>
    </row>
    <row r="66" ht="14.25" customHeight="1">
      <c r="U66" s="3" t="str">
        <f t="shared" si="1"/>
        <v>53. ศูนย์เครื่องช่วยหายใจ</v>
      </c>
      <c r="V66" s="4">
        <v>53.0</v>
      </c>
      <c r="W66" s="4" t="s">
        <v>54</v>
      </c>
    </row>
    <row r="67" ht="14.25" customHeight="1">
      <c r="U67" s="3" t="str">
        <f t="shared" si="1"/>
        <v>54. ศูนย์ความเชี่ยวชาญด้านการวัดและการสอบเทียบเครื่องมือแพทย์ (Center of Scientific Metrology; CSM)</v>
      </c>
      <c r="V67" s="4">
        <v>54.0</v>
      </c>
      <c r="W67" s="4" t="s">
        <v>55</v>
      </c>
    </row>
    <row r="68" ht="14.25" customHeight="1">
      <c r="U68" s="3" t="str">
        <f t="shared" si="1"/>
        <v>55. ศูนย์บูรณาการ การรักษาและวินิจฉัยระบบทางเดินหายใจ (Center of Respiratory Care; CRC)</v>
      </c>
      <c r="V68" s="4">
        <v>55.0</v>
      </c>
      <c r="W68" s="4" t="s">
        <v>56</v>
      </c>
    </row>
    <row r="69" ht="14.25" customHeight="1">
      <c r="U69" s="3" t="str">
        <f t="shared" si="1"/>
        <v>56. รพ.พระปกเกล้า สาขาเมือง</v>
      </c>
      <c r="V69" s="4">
        <v>56.0</v>
      </c>
      <c r="W69" s="4" t="s">
        <v>57</v>
      </c>
    </row>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id="rId1" ref="M5"/>
  </hyperlinks>
  <printOptions/>
  <pageMargins bottom="0.75" footer="0.0" header="0.0" left="0.7" right="0.7" top="0.75"/>
  <pageSetup paperSize="9"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FDAFF"/>
    <pageSetUpPr/>
  </sheetPr>
  <sheetViews>
    <sheetView workbookViewId="0"/>
  </sheetViews>
  <sheetFormatPr customHeight="1" defaultColWidth="14.43" defaultRowHeight="15.0"/>
  <cols>
    <col customWidth="1" min="1" max="1" width="158.43"/>
    <col customWidth="1" min="2" max="26" width="8.71"/>
  </cols>
  <sheetData>
    <row r="1" ht="14.25" customHeight="1">
      <c r="A1" s="5" t="s">
        <v>58</v>
      </c>
    </row>
    <row r="2" ht="14.25" customHeight="1">
      <c r="A2" s="6" t="s">
        <v>59</v>
      </c>
    </row>
    <row r="3" ht="14.25" customHeight="1">
      <c r="A3" s="7"/>
    </row>
    <row r="4" ht="14.25" customHeight="1">
      <c r="A4" s="7"/>
    </row>
    <row r="5" ht="14.25" customHeight="1">
      <c r="A5" s="7"/>
    </row>
    <row r="6" ht="14.25" customHeight="1">
      <c r="A6" s="7"/>
    </row>
    <row r="7" ht="14.25" customHeight="1">
      <c r="A7" s="7"/>
    </row>
    <row r="8" ht="14.25" customHeight="1">
      <c r="A8" s="7"/>
    </row>
    <row r="9" ht="14.25" customHeight="1">
      <c r="A9" s="7"/>
    </row>
    <row r="10" ht="14.25" customHeight="1">
      <c r="A10" s="7"/>
    </row>
    <row r="11" ht="14.25" customHeight="1">
      <c r="A11" s="7"/>
    </row>
    <row r="12" ht="14.25" customHeight="1">
      <c r="A12" s="7"/>
    </row>
    <row r="13" ht="14.25" customHeight="1">
      <c r="A13" s="7"/>
    </row>
    <row r="14" ht="14.25" customHeight="1">
      <c r="A14" s="7"/>
    </row>
    <row r="15" ht="14.25" customHeight="1">
      <c r="A15" s="7"/>
    </row>
    <row r="16" ht="14.25" customHeight="1">
      <c r="A16" s="7"/>
    </row>
    <row r="17" ht="14.25" customHeight="1">
      <c r="A17" s="7"/>
    </row>
    <row r="18" ht="14.25" customHeight="1">
      <c r="A18" s="7"/>
    </row>
    <row r="19" ht="14.25" customHeight="1">
      <c r="A19" s="7"/>
    </row>
    <row r="20" ht="14.25" customHeight="1">
      <c r="A20" s="7"/>
    </row>
    <row r="21" ht="14.25" customHeight="1">
      <c r="A21" s="7"/>
    </row>
    <row r="22" ht="14.25" customHeight="1">
      <c r="A22" s="7"/>
    </row>
    <row r="23" ht="14.25" customHeight="1">
      <c r="A23" s="7"/>
    </row>
    <row r="24" ht="14.25" customHeight="1">
      <c r="A24" s="7"/>
    </row>
    <row r="25" ht="14.25" customHeight="1">
      <c r="A25" s="7"/>
    </row>
    <row r="26" ht="14.25" customHeight="1">
      <c r="A26" s="7"/>
    </row>
    <row r="27" ht="14.25" customHeight="1">
      <c r="A27" s="7"/>
    </row>
    <row r="28" ht="14.25" customHeight="1">
      <c r="A28" s="7"/>
    </row>
    <row r="29" ht="14.25" customHeight="1">
      <c r="A29" s="7"/>
    </row>
    <row r="30" ht="14.25" customHeight="1">
      <c r="A30" s="7"/>
    </row>
    <row r="31" ht="14.25" customHeight="1">
      <c r="A31" s="7"/>
    </row>
    <row r="32" ht="14.25" customHeight="1">
      <c r="A32" s="7"/>
    </row>
    <row r="33" ht="14.25" customHeight="1">
      <c r="A33" s="7"/>
    </row>
    <row r="34" ht="14.25" customHeight="1">
      <c r="A34" s="7"/>
    </row>
    <row r="35" ht="14.25" customHeight="1">
      <c r="A35" s="7"/>
      <c r="G35" s="8"/>
    </row>
    <row r="36" ht="14.25" customHeight="1">
      <c r="A36" s="7"/>
    </row>
    <row r="37" ht="14.25" customHeight="1">
      <c r="A37" s="7"/>
    </row>
    <row r="38" ht="14.25" customHeight="1">
      <c r="A38" s="7"/>
    </row>
    <row r="39" ht="14.25" customHeight="1">
      <c r="A39" s="7"/>
    </row>
    <row r="40" ht="14.25" customHeight="1">
      <c r="A40" s="7"/>
    </row>
    <row r="41" ht="14.25" customHeight="1">
      <c r="A41" s="7"/>
    </row>
    <row r="42" ht="14.25" customHeight="1">
      <c r="A42" s="7"/>
    </row>
    <row r="43" ht="14.25" customHeight="1">
      <c r="A43" s="7"/>
    </row>
    <row r="44" ht="14.25" customHeight="1">
      <c r="A44" s="7"/>
    </row>
    <row r="45" ht="14.25" customHeight="1">
      <c r="A45" s="7"/>
    </row>
    <row r="46" ht="14.25" customHeight="1">
      <c r="A46" s="7"/>
    </row>
    <row r="47" ht="14.25" customHeight="1">
      <c r="A47" s="7"/>
    </row>
    <row r="48" ht="14.25" customHeight="1">
      <c r="A48" s="7"/>
    </row>
    <row r="49" ht="14.25" customHeight="1">
      <c r="A49" s="7"/>
    </row>
    <row r="50" ht="14.25" customHeight="1">
      <c r="A50" s="7"/>
    </row>
    <row r="51" ht="14.25" customHeight="1">
      <c r="A51" s="7"/>
    </row>
    <row r="52" ht="14.25" customHeight="1">
      <c r="A52" s="7"/>
    </row>
    <row r="53" ht="99.0" customHeight="1">
      <c r="A53" s="9"/>
    </row>
    <row r="54" ht="14.25" customHeight="1">
      <c r="A54" s="10"/>
    </row>
    <row r="55" ht="14.25" customHeight="1">
      <c r="A55" s="10"/>
    </row>
    <row r="56" ht="14.25" customHeight="1">
      <c r="A56" s="10"/>
    </row>
    <row r="57" ht="14.25" customHeight="1">
      <c r="A57" s="10"/>
    </row>
    <row r="58" ht="14.25" customHeight="1">
      <c r="A58" s="10"/>
    </row>
    <row r="59" ht="14.25" customHeight="1">
      <c r="A59" s="10"/>
    </row>
    <row r="60" ht="14.25" customHeight="1">
      <c r="A60" s="10"/>
    </row>
    <row r="61" ht="14.25" customHeight="1">
      <c r="A61" s="10"/>
    </row>
    <row r="62" ht="14.25" customHeight="1">
      <c r="A62" s="10"/>
    </row>
    <row r="63" ht="14.25" customHeight="1">
      <c r="A63" s="10"/>
    </row>
    <row r="64" ht="14.25" customHeight="1">
      <c r="A64" s="10"/>
    </row>
    <row r="65" ht="14.25" customHeight="1">
      <c r="A65" s="10"/>
    </row>
    <row r="66" ht="14.25" customHeight="1">
      <c r="A66" s="10"/>
    </row>
    <row r="67" ht="14.25" customHeight="1">
      <c r="A67" s="10"/>
    </row>
    <row r="68" ht="14.25" customHeight="1">
      <c r="A68" s="10"/>
    </row>
    <row r="69" ht="14.25" customHeight="1">
      <c r="A69" s="10"/>
    </row>
    <row r="70" ht="14.25" customHeight="1">
      <c r="A70" s="10"/>
    </row>
    <row r="71" ht="14.25" customHeight="1">
      <c r="A71" s="10"/>
    </row>
    <row r="72" ht="14.25" customHeight="1">
      <c r="A72" s="10"/>
    </row>
    <row r="73" ht="14.25" customHeight="1">
      <c r="A73" s="10"/>
    </row>
    <row r="74" ht="14.25" customHeight="1">
      <c r="A74" s="10"/>
    </row>
    <row r="75" ht="14.25" customHeight="1">
      <c r="A75" s="10"/>
    </row>
    <row r="76" ht="14.25" customHeight="1">
      <c r="A76" s="10"/>
    </row>
    <row r="77" ht="14.25" customHeight="1">
      <c r="A77" s="10"/>
    </row>
    <row r="78" ht="14.25" customHeight="1">
      <c r="A78" s="10"/>
    </row>
    <row r="79" ht="14.25" customHeight="1">
      <c r="A79" s="10"/>
    </row>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2:A53"/>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25.0"/>
    <col customWidth="1" min="2" max="2" width="5.0"/>
    <col customWidth="1" min="3" max="3" width="28.43"/>
    <col customWidth="1" min="4" max="4" width="9.0"/>
    <col customWidth="1" min="5" max="8" width="20.71"/>
    <col customWidth="1" min="9" max="26" width="9.0"/>
  </cols>
  <sheetData>
    <row r="1" ht="35.25" customHeight="1">
      <c r="A1" s="11" t="s">
        <v>60</v>
      </c>
      <c r="B1" s="12"/>
      <c r="C1" s="13"/>
      <c r="D1" s="14"/>
      <c r="E1" s="13"/>
      <c r="F1" s="15"/>
      <c r="G1" s="15"/>
      <c r="H1" s="15"/>
      <c r="I1" s="13"/>
      <c r="J1" s="13"/>
      <c r="K1" s="13"/>
      <c r="L1" s="13"/>
      <c r="M1" s="13"/>
      <c r="N1" s="13"/>
      <c r="O1" s="13"/>
      <c r="P1" s="13"/>
      <c r="Q1" s="13"/>
      <c r="R1" s="13"/>
      <c r="S1" s="13"/>
      <c r="T1" s="13"/>
      <c r="U1" s="13"/>
      <c r="V1" s="13"/>
      <c r="W1" s="13"/>
      <c r="X1" s="13"/>
      <c r="Y1" s="13"/>
      <c r="Z1" s="13"/>
    </row>
    <row r="2" ht="35.25" customHeight="1">
      <c r="A2" s="11" t="s">
        <v>61</v>
      </c>
      <c r="B2" s="12"/>
      <c r="C2" s="13"/>
      <c r="D2" s="14"/>
      <c r="E2" s="13"/>
      <c r="F2" s="15"/>
      <c r="G2" s="15"/>
      <c r="H2" s="15"/>
      <c r="I2" s="13"/>
      <c r="J2" s="13"/>
      <c r="K2" s="13"/>
      <c r="L2" s="13"/>
      <c r="M2" s="13"/>
      <c r="N2" s="13"/>
      <c r="O2" s="13"/>
      <c r="P2" s="13"/>
      <c r="Q2" s="13"/>
      <c r="R2" s="13"/>
      <c r="S2" s="13"/>
      <c r="T2" s="13"/>
      <c r="U2" s="13"/>
      <c r="V2" s="13"/>
      <c r="W2" s="13"/>
      <c r="X2" s="13"/>
      <c r="Y2" s="13"/>
      <c r="Z2" s="13"/>
    </row>
    <row r="3" ht="42.75" customHeight="1">
      <c r="A3" s="16" t="s">
        <v>62</v>
      </c>
      <c r="B3" s="16"/>
      <c r="C3" s="16" t="s">
        <v>63</v>
      </c>
      <c r="D3" s="16" t="s">
        <v>64</v>
      </c>
      <c r="E3" s="16" t="s">
        <v>65</v>
      </c>
      <c r="F3" s="17" t="s">
        <v>66</v>
      </c>
      <c r="G3" s="18" t="s">
        <v>67</v>
      </c>
      <c r="H3" s="17" t="s">
        <v>68</v>
      </c>
      <c r="I3" s="19"/>
      <c r="J3" s="19"/>
      <c r="K3" s="19"/>
      <c r="L3" s="19"/>
      <c r="M3" s="19"/>
      <c r="N3" s="19"/>
      <c r="O3" s="19"/>
      <c r="P3" s="19"/>
      <c r="Q3" s="19"/>
      <c r="R3" s="19"/>
      <c r="S3" s="19"/>
      <c r="T3" s="19"/>
      <c r="U3" s="19"/>
      <c r="V3" s="19"/>
      <c r="W3" s="19"/>
      <c r="X3" s="19"/>
      <c r="Y3" s="19"/>
      <c r="Z3" s="19"/>
    </row>
    <row r="4" ht="18.75" customHeight="1">
      <c r="A4" s="20" t="s">
        <v>69</v>
      </c>
      <c r="B4" s="21"/>
      <c r="C4" s="21" t="s">
        <v>70</v>
      </c>
      <c r="D4" s="21"/>
      <c r="E4" s="21"/>
      <c r="F4" s="22">
        <f t="shared" ref="F4:H4" si="1">SUM(F5:F56)</f>
        <v>1376</v>
      </c>
      <c r="G4" s="22">
        <f t="shared" si="1"/>
        <v>191</v>
      </c>
      <c r="H4" s="22">
        <f t="shared" si="1"/>
        <v>1567</v>
      </c>
      <c r="I4" s="23"/>
      <c r="J4" s="23"/>
      <c r="K4" s="23"/>
      <c r="L4" s="23"/>
      <c r="M4" s="23"/>
      <c r="N4" s="23"/>
      <c r="O4" s="23"/>
      <c r="P4" s="23"/>
      <c r="Q4" s="23"/>
      <c r="R4" s="23"/>
      <c r="S4" s="23"/>
      <c r="T4" s="23"/>
      <c r="U4" s="23"/>
      <c r="V4" s="23"/>
      <c r="W4" s="23"/>
      <c r="X4" s="23"/>
      <c r="Y4" s="23"/>
      <c r="Z4" s="23"/>
    </row>
    <row r="5" ht="18.75" customHeight="1">
      <c r="A5" s="24" t="s">
        <v>71</v>
      </c>
      <c r="B5" s="25">
        <v>1.0</v>
      </c>
      <c r="C5" s="26" t="s">
        <v>72</v>
      </c>
      <c r="D5" s="27" t="s">
        <v>73</v>
      </c>
      <c r="E5" s="26" t="s">
        <v>74</v>
      </c>
      <c r="F5" s="28">
        <v>7.0</v>
      </c>
      <c r="G5" s="28"/>
      <c r="H5" s="28">
        <v>7.0</v>
      </c>
      <c r="I5" s="29"/>
      <c r="J5" s="29"/>
      <c r="K5" s="29"/>
      <c r="L5" s="30"/>
      <c r="M5" s="30"/>
      <c r="N5" s="29"/>
      <c r="O5" s="29"/>
      <c r="P5" s="29"/>
      <c r="Q5" s="29"/>
      <c r="R5" s="29"/>
      <c r="S5" s="29"/>
      <c r="T5" s="29"/>
      <c r="U5" s="29"/>
      <c r="V5" s="29"/>
      <c r="W5" s="29"/>
      <c r="X5" s="29"/>
      <c r="Y5" s="29"/>
      <c r="Z5" s="29"/>
    </row>
    <row r="6" ht="18.75" customHeight="1">
      <c r="A6" s="31"/>
      <c r="B6" s="25">
        <v>2.0</v>
      </c>
      <c r="C6" s="26" t="s">
        <v>75</v>
      </c>
      <c r="D6" s="27" t="s">
        <v>76</v>
      </c>
      <c r="E6" s="26" t="s">
        <v>77</v>
      </c>
      <c r="F6" s="28">
        <v>17.0</v>
      </c>
      <c r="G6" s="28"/>
      <c r="H6" s="28">
        <v>17.0</v>
      </c>
      <c r="I6" s="29"/>
      <c r="J6" s="29"/>
      <c r="K6" s="29"/>
      <c r="L6" s="30"/>
      <c r="M6" s="30"/>
      <c r="N6" s="29"/>
      <c r="O6" s="29"/>
      <c r="P6" s="29"/>
      <c r="Q6" s="29"/>
      <c r="R6" s="29"/>
      <c r="S6" s="29"/>
      <c r="T6" s="29"/>
      <c r="U6" s="29"/>
      <c r="V6" s="29"/>
      <c r="W6" s="29"/>
      <c r="X6" s="29"/>
      <c r="Y6" s="29"/>
      <c r="Z6" s="29"/>
    </row>
    <row r="7" ht="18.75" customHeight="1">
      <c r="A7" s="31"/>
      <c r="B7" s="25">
        <v>3.0</v>
      </c>
      <c r="C7" s="26" t="s">
        <v>78</v>
      </c>
      <c r="D7" s="27" t="s">
        <v>79</v>
      </c>
      <c r="E7" s="26" t="s">
        <v>80</v>
      </c>
      <c r="F7" s="28">
        <v>58.0</v>
      </c>
      <c r="G7" s="28"/>
      <c r="H7" s="28">
        <v>58.0</v>
      </c>
      <c r="I7" s="29"/>
      <c r="J7" s="29"/>
      <c r="K7" s="29"/>
      <c r="L7" s="30"/>
      <c r="M7" s="30"/>
      <c r="N7" s="29"/>
      <c r="O7" s="29"/>
      <c r="P7" s="29"/>
      <c r="Q7" s="29"/>
      <c r="R7" s="29"/>
      <c r="S7" s="29"/>
      <c r="T7" s="29"/>
      <c r="U7" s="29"/>
      <c r="V7" s="29"/>
      <c r="W7" s="29"/>
      <c r="X7" s="29"/>
      <c r="Y7" s="29"/>
      <c r="Z7" s="29"/>
    </row>
    <row r="8" ht="18.75" customHeight="1">
      <c r="A8" s="31"/>
      <c r="B8" s="25">
        <v>4.0</v>
      </c>
      <c r="C8" s="26" t="s">
        <v>81</v>
      </c>
      <c r="D8" s="27" t="s">
        <v>82</v>
      </c>
      <c r="E8" s="26" t="s">
        <v>83</v>
      </c>
      <c r="F8" s="28">
        <v>51.0</v>
      </c>
      <c r="G8" s="28">
        <v>1.0</v>
      </c>
      <c r="H8" s="28">
        <v>52.0</v>
      </c>
      <c r="I8" s="29"/>
      <c r="J8" s="29"/>
      <c r="K8" s="29"/>
      <c r="L8" s="30"/>
      <c r="M8" s="30"/>
      <c r="N8" s="29"/>
      <c r="O8" s="29"/>
      <c r="P8" s="29"/>
      <c r="Q8" s="29"/>
      <c r="R8" s="29"/>
      <c r="S8" s="29"/>
      <c r="T8" s="29"/>
      <c r="U8" s="29"/>
      <c r="V8" s="29"/>
      <c r="W8" s="29"/>
      <c r="X8" s="29"/>
      <c r="Y8" s="29"/>
      <c r="Z8" s="29"/>
    </row>
    <row r="9" ht="18.75" customHeight="1">
      <c r="A9" s="31"/>
      <c r="B9" s="25">
        <v>5.0</v>
      </c>
      <c r="C9" s="26" t="s">
        <v>84</v>
      </c>
      <c r="D9" s="27" t="s">
        <v>85</v>
      </c>
      <c r="E9" s="26" t="s">
        <v>86</v>
      </c>
      <c r="F9" s="28">
        <v>24.0</v>
      </c>
      <c r="G9" s="28"/>
      <c r="H9" s="28">
        <v>24.0</v>
      </c>
      <c r="I9" s="29"/>
      <c r="J9" s="29"/>
      <c r="K9" s="29"/>
      <c r="L9" s="30"/>
      <c r="M9" s="30"/>
      <c r="N9" s="29"/>
      <c r="O9" s="29"/>
      <c r="P9" s="29"/>
      <c r="Q9" s="29"/>
      <c r="R9" s="29"/>
      <c r="S9" s="29"/>
      <c r="T9" s="29"/>
      <c r="U9" s="29"/>
      <c r="V9" s="29"/>
      <c r="W9" s="29"/>
      <c r="X9" s="29"/>
      <c r="Y9" s="29"/>
      <c r="Z9" s="29"/>
    </row>
    <row r="10" ht="18.75" customHeight="1">
      <c r="A10" s="31"/>
      <c r="B10" s="25">
        <v>6.0</v>
      </c>
      <c r="C10" s="26" t="s">
        <v>87</v>
      </c>
      <c r="D10" s="27" t="s">
        <v>88</v>
      </c>
      <c r="E10" s="26" t="s">
        <v>89</v>
      </c>
      <c r="F10" s="28">
        <v>4.0</v>
      </c>
      <c r="G10" s="28"/>
      <c r="H10" s="28">
        <v>4.0</v>
      </c>
      <c r="I10" s="29"/>
      <c r="J10" s="29"/>
      <c r="K10" s="29"/>
      <c r="L10" s="30"/>
      <c r="M10" s="30"/>
      <c r="N10" s="29"/>
      <c r="O10" s="29"/>
      <c r="P10" s="29"/>
      <c r="Q10" s="29"/>
      <c r="R10" s="29"/>
      <c r="S10" s="29"/>
      <c r="T10" s="29"/>
      <c r="U10" s="29"/>
      <c r="V10" s="29"/>
      <c r="W10" s="29"/>
      <c r="X10" s="29"/>
      <c r="Y10" s="29"/>
      <c r="Z10" s="29"/>
    </row>
    <row r="11" ht="18.75" customHeight="1">
      <c r="A11" s="31"/>
      <c r="B11" s="25">
        <v>7.0</v>
      </c>
      <c r="C11" s="26" t="s">
        <v>90</v>
      </c>
      <c r="D11" s="27" t="s">
        <v>91</v>
      </c>
      <c r="E11" s="26" t="s">
        <v>92</v>
      </c>
      <c r="F11" s="28">
        <v>4.0</v>
      </c>
      <c r="G11" s="28"/>
      <c r="H11" s="28">
        <v>4.0</v>
      </c>
      <c r="I11" s="29"/>
      <c r="J11" s="29"/>
      <c r="K11" s="29"/>
      <c r="L11" s="30"/>
      <c r="M11" s="30"/>
      <c r="N11" s="29"/>
      <c r="O11" s="29"/>
      <c r="P11" s="29"/>
      <c r="Q11" s="29"/>
      <c r="R11" s="29"/>
      <c r="S11" s="29"/>
      <c r="T11" s="29"/>
      <c r="U11" s="29"/>
      <c r="V11" s="29"/>
      <c r="W11" s="29"/>
      <c r="X11" s="29"/>
      <c r="Y11" s="29"/>
      <c r="Z11" s="29"/>
    </row>
    <row r="12" ht="18.75" customHeight="1">
      <c r="A12" s="31"/>
      <c r="B12" s="25">
        <v>8.0</v>
      </c>
      <c r="C12" s="26" t="s">
        <v>93</v>
      </c>
      <c r="D12" s="27" t="s">
        <v>94</v>
      </c>
      <c r="E12" s="26" t="s">
        <v>95</v>
      </c>
      <c r="F12" s="28">
        <v>65.0</v>
      </c>
      <c r="G12" s="28"/>
      <c r="H12" s="28">
        <v>65.0</v>
      </c>
      <c r="I12" s="29"/>
      <c r="J12" s="29"/>
      <c r="K12" s="29"/>
      <c r="L12" s="30"/>
      <c r="M12" s="30"/>
      <c r="N12" s="29"/>
      <c r="O12" s="29"/>
      <c r="P12" s="29"/>
      <c r="Q12" s="29"/>
      <c r="R12" s="29"/>
      <c r="S12" s="29"/>
      <c r="T12" s="29"/>
      <c r="U12" s="29"/>
      <c r="V12" s="29"/>
      <c r="W12" s="29"/>
      <c r="X12" s="29"/>
      <c r="Y12" s="29"/>
      <c r="Z12" s="29"/>
    </row>
    <row r="13" ht="18.75" customHeight="1">
      <c r="A13" s="31"/>
      <c r="B13" s="25">
        <v>9.0</v>
      </c>
      <c r="C13" s="26" t="s">
        <v>96</v>
      </c>
      <c r="D13" s="27" t="s">
        <v>97</v>
      </c>
      <c r="E13" s="26" t="s">
        <v>98</v>
      </c>
      <c r="F13" s="28">
        <v>72.0</v>
      </c>
      <c r="G13" s="28"/>
      <c r="H13" s="28">
        <v>72.0</v>
      </c>
      <c r="I13" s="29"/>
      <c r="J13" s="29"/>
      <c r="K13" s="29"/>
      <c r="L13" s="30"/>
      <c r="M13" s="30"/>
      <c r="N13" s="29"/>
      <c r="O13" s="29"/>
      <c r="P13" s="29"/>
      <c r="Q13" s="29"/>
      <c r="R13" s="29"/>
      <c r="S13" s="29"/>
      <c r="T13" s="29"/>
      <c r="U13" s="29"/>
      <c r="V13" s="29"/>
      <c r="W13" s="29"/>
      <c r="X13" s="29"/>
      <c r="Y13" s="29"/>
      <c r="Z13" s="29"/>
    </row>
    <row r="14" ht="18.75" customHeight="1">
      <c r="A14" s="31"/>
      <c r="B14" s="25">
        <v>10.0</v>
      </c>
      <c r="C14" s="26" t="s">
        <v>99</v>
      </c>
      <c r="D14" s="27" t="s">
        <v>100</v>
      </c>
      <c r="E14" s="26" t="s">
        <v>101</v>
      </c>
      <c r="F14" s="28">
        <v>18.0</v>
      </c>
      <c r="G14" s="28"/>
      <c r="H14" s="28">
        <v>18.0</v>
      </c>
      <c r="I14" s="29"/>
      <c r="J14" s="29"/>
      <c r="K14" s="29"/>
      <c r="L14" s="30"/>
      <c r="M14" s="30"/>
      <c r="N14" s="29"/>
      <c r="O14" s="29"/>
      <c r="P14" s="29"/>
      <c r="Q14" s="29"/>
      <c r="R14" s="29"/>
      <c r="S14" s="29"/>
      <c r="T14" s="29"/>
      <c r="U14" s="29"/>
      <c r="V14" s="29"/>
      <c r="W14" s="29"/>
      <c r="X14" s="29"/>
      <c r="Y14" s="29"/>
      <c r="Z14" s="29"/>
    </row>
    <row r="15" ht="18.75" customHeight="1">
      <c r="A15" s="31"/>
      <c r="B15" s="25">
        <v>11.0</v>
      </c>
      <c r="C15" s="26" t="s">
        <v>102</v>
      </c>
      <c r="D15" s="27" t="s">
        <v>103</v>
      </c>
      <c r="E15" s="26" t="s">
        <v>104</v>
      </c>
      <c r="F15" s="28">
        <v>13.0</v>
      </c>
      <c r="G15" s="28"/>
      <c r="H15" s="28">
        <v>13.0</v>
      </c>
      <c r="I15" s="29"/>
      <c r="J15" s="29"/>
      <c r="K15" s="29"/>
      <c r="L15" s="30"/>
      <c r="M15" s="30"/>
      <c r="N15" s="29"/>
      <c r="O15" s="29"/>
      <c r="P15" s="29"/>
      <c r="Q15" s="29"/>
      <c r="R15" s="29"/>
      <c r="S15" s="29"/>
      <c r="T15" s="29"/>
      <c r="U15" s="29"/>
      <c r="V15" s="29"/>
      <c r="W15" s="29"/>
      <c r="X15" s="29"/>
      <c r="Y15" s="29"/>
      <c r="Z15" s="29"/>
    </row>
    <row r="16" ht="18.75" customHeight="1">
      <c r="A16" s="31"/>
      <c r="B16" s="25">
        <v>12.0</v>
      </c>
      <c r="C16" s="26" t="s">
        <v>105</v>
      </c>
      <c r="D16" s="27" t="s">
        <v>106</v>
      </c>
      <c r="E16" s="26" t="s">
        <v>107</v>
      </c>
      <c r="F16" s="28">
        <v>28.0</v>
      </c>
      <c r="G16" s="28">
        <v>2.0</v>
      </c>
      <c r="H16" s="28">
        <v>30.0</v>
      </c>
      <c r="I16" s="29"/>
      <c r="J16" s="29"/>
      <c r="K16" s="29"/>
      <c r="L16" s="30"/>
      <c r="M16" s="30"/>
      <c r="N16" s="29"/>
      <c r="O16" s="29"/>
      <c r="P16" s="29"/>
      <c r="Q16" s="29"/>
      <c r="R16" s="29"/>
      <c r="S16" s="29"/>
      <c r="T16" s="29"/>
      <c r="U16" s="29"/>
      <c r="V16" s="29"/>
      <c r="W16" s="29"/>
      <c r="X16" s="29"/>
      <c r="Y16" s="29"/>
      <c r="Z16" s="29"/>
    </row>
    <row r="17" ht="18.75" customHeight="1">
      <c r="A17" s="31"/>
      <c r="B17" s="25">
        <v>13.0</v>
      </c>
      <c r="C17" s="26" t="s">
        <v>108</v>
      </c>
      <c r="D17" s="27" t="s">
        <v>109</v>
      </c>
      <c r="E17" s="26" t="s">
        <v>110</v>
      </c>
      <c r="F17" s="28">
        <v>5.0</v>
      </c>
      <c r="G17" s="28"/>
      <c r="H17" s="28">
        <v>5.0</v>
      </c>
      <c r="I17" s="29"/>
      <c r="J17" s="29"/>
      <c r="K17" s="29"/>
      <c r="L17" s="30"/>
      <c r="M17" s="30"/>
      <c r="N17" s="29"/>
      <c r="O17" s="29"/>
      <c r="P17" s="29"/>
      <c r="Q17" s="29"/>
      <c r="R17" s="29"/>
      <c r="S17" s="29"/>
      <c r="T17" s="29"/>
      <c r="U17" s="29"/>
      <c r="V17" s="29"/>
      <c r="W17" s="29"/>
      <c r="X17" s="29"/>
      <c r="Y17" s="29"/>
      <c r="Z17" s="29"/>
    </row>
    <row r="18" ht="18.75" customHeight="1">
      <c r="A18" s="31"/>
      <c r="B18" s="25">
        <v>14.0</v>
      </c>
      <c r="C18" s="26" t="s">
        <v>111</v>
      </c>
      <c r="D18" s="27" t="s">
        <v>112</v>
      </c>
      <c r="E18" s="26" t="s">
        <v>113</v>
      </c>
      <c r="F18" s="28">
        <v>23.0</v>
      </c>
      <c r="G18" s="28">
        <v>1.0</v>
      </c>
      <c r="H18" s="28">
        <v>24.0</v>
      </c>
      <c r="I18" s="29"/>
      <c r="J18" s="29"/>
      <c r="K18" s="29"/>
      <c r="L18" s="30"/>
      <c r="M18" s="30"/>
      <c r="N18" s="29"/>
      <c r="O18" s="29"/>
      <c r="P18" s="29"/>
      <c r="Q18" s="29"/>
      <c r="R18" s="29"/>
      <c r="S18" s="29"/>
      <c r="T18" s="29"/>
      <c r="U18" s="29"/>
      <c r="V18" s="29"/>
      <c r="W18" s="29"/>
      <c r="X18" s="29"/>
      <c r="Y18" s="29"/>
      <c r="Z18" s="29"/>
    </row>
    <row r="19" ht="18.75" customHeight="1">
      <c r="A19" s="31"/>
      <c r="B19" s="25">
        <v>15.0</v>
      </c>
      <c r="C19" s="26" t="s">
        <v>114</v>
      </c>
      <c r="D19" s="27" t="s">
        <v>115</v>
      </c>
      <c r="E19" s="26" t="s">
        <v>116</v>
      </c>
      <c r="F19" s="28">
        <v>10.0</v>
      </c>
      <c r="G19" s="28"/>
      <c r="H19" s="28">
        <v>10.0</v>
      </c>
      <c r="I19" s="29"/>
      <c r="J19" s="29"/>
      <c r="K19" s="29"/>
      <c r="L19" s="30"/>
      <c r="M19" s="30"/>
      <c r="N19" s="29"/>
      <c r="O19" s="29"/>
      <c r="P19" s="29"/>
      <c r="Q19" s="29"/>
      <c r="R19" s="29"/>
      <c r="S19" s="29"/>
      <c r="T19" s="29"/>
      <c r="U19" s="29"/>
      <c r="V19" s="29"/>
      <c r="W19" s="29"/>
      <c r="X19" s="29"/>
      <c r="Y19" s="29"/>
      <c r="Z19" s="29"/>
    </row>
    <row r="20" ht="18.75" customHeight="1">
      <c r="A20" s="31"/>
      <c r="B20" s="25">
        <v>16.0</v>
      </c>
      <c r="C20" s="26" t="s">
        <v>117</v>
      </c>
      <c r="D20" s="27" t="s">
        <v>118</v>
      </c>
      <c r="E20" s="26" t="s">
        <v>119</v>
      </c>
      <c r="F20" s="28">
        <v>52.0</v>
      </c>
      <c r="G20" s="28"/>
      <c r="H20" s="28">
        <v>52.0</v>
      </c>
      <c r="I20" s="29"/>
      <c r="J20" s="29"/>
      <c r="K20" s="29"/>
      <c r="L20" s="30"/>
      <c r="M20" s="30"/>
      <c r="N20" s="29"/>
      <c r="O20" s="29"/>
      <c r="P20" s="29"/>
      <c r="Q20" s="29"/>
      <c r="R20" s="29"/>
      <c r="S20" s="29"/>
      <c r="T20" s="29"/>
      <c r="U20" s="29"/>
      <c r="V20" s="29"/>
      <c r="W20" s="29"/>
      <c r="X20" s="29"/>
      <c r="Y20" s="29"/>
      <c r="Z20" s="29"/>
    </row>
    <row r="21" ht="18.75" customHeight="1">
      <c r="A21" s="31"/>
      <c r="B21" s="25">
        <v>17.0</v>
      </c>
      <c r="C21" s="26" t="s">
        <v>120</v>
      </c>
      <c r="D21" s="27" t="s">
        <v>121</v>
      </c>
      <c r="E21" s="26" t="s">
        <v>122</v>
      </c>
      <c r="F21" s="28">
        <v>12.0</v>
      </c>
      <c r="G21" s="28"/>
      <c r="H21" s="28">
        <v>12.0</v>
      </c>
      <c r="I21" s="29"/>
      <c r="J21" s="29"/>
      <c r="K21" s="29"/>
      <c r="L21" s="30"/>
      <c r="M21" s="30"/>
      <c r="N21" s="29"/>
      <c r="O21" s="29"/>
      <c r="P21" s="29"/>
      <c r="Q21" s="29"/>
      <c r="R21" s="29"/>
      <c r="S21" s="29"/>
      <c r="T21" s="29"/>
      <c r="U21" s="29"/>
      <c r="V21" s="29"/>
      <c r="W21" s="29"/>
      <c r="X21" s="29"/>
      <c r="Y21" s="29"/>
      <c r="Z21" s="29"/>
    </row>
    <row r="22" ht="18.75" customHeight="1">
      <c r="A22" s="31"/>
      <c r="B22" s="25">
        <v>18.0</v>
      </c>
      <c r="C22" s="26" t="s">
        <v>123</v>
      </c>
      <c r="D22" s="27" t="s">
        <v>124</v>
      </c>
      <c r="E22" s="26" t="s">
        <v>125</v>
      </c>
      <c r="F22" s="28">
        <v>22.0</v>
      </c>
      <c r="G22" s="28"/>
      <c r="H22" s="28">
        <v>22.0</v>
      </c>
      <c r="I22" s="29"/>
      <c r="J22" s="29"/>
      <c r="K22" s="29"/>
      <c r="L22" s="30"/>
      <c r="M22" s="30"/>
      <c r="N22" s="29"/>
      <c r="O22" s="29"/>
      <c r="P22" s="29"/>
      <c r="Q22" s="29"/>
      <c r="R22" s="29"/>
      <c r="S22" s="29"/>
      <c r="T22" s="29"/>
      <c r="U22" s="29"/>
      <c r="V22" s="29"/>
      <c r="W22" s="29"/>
      <c r="X22" s="29"/>
      <c r="Y22" s="29"/>
      <c r="Z22" s="29"/>
    </row>
    <row r="23" ht="18.75" customHeight="1">
      <c r="A23" s="31"/>
      <c r="B23" s="25">
        <v>19.0</v>
      </c>
      <c r="C23" s="26" t="s">
        <v>126</v>
      </c>
      <c r="D23" s="27" t="s">
        <v>127</v>
      </c>
      <c r="E23" s="26" t="s">
        <v>128</v>
      </c>
      <c r="F23" s="28">
        <v>16.0</v>
      </c>
      <c r="G23" s="28"/>
      <c r="H23" s="28">
        <v>16.0</v>
      </c>
      <c r="I23" s="29"/>
      <c r="J23" s="29"/>
      <c r="K23" s="29"/>
      <c r="L23" s="30"/>
      <c r="M23" s="30"/>
      <c r="N23" s="29"/>
      <c r="O23" s="29"/>
      <c r="P23" s="29"/>
      <c r="Q23" s="29"/>
      <c r="R23" s="29"/>
      <c r="S23" s="29"/>
      <c r="T23" s="29"/>
      <c r="U23" s="29"/>
      <c r="V23" s="29"/>
      <c r="W23" s="29"/>
      <c r="X23" s="29"/>
      <c r="Y23" s="29"/>
      <c r="Z23" s="29"/>
    </row>
    <row r="24" ht="18.75" customHeight="1">
      <c r="A24" s="31"/>
      <c r="B24" s="25">
        <v>20.0</v>
      </c>
      <c r="C24" s="26" t="s">
        <v>129</v>
      </c>
      <c r="D24" s="27" t="s">
        <v>130</v>
      </c>
      <c r="E24" s="26" t="s">
        <v>131</v>
      </c>
      <c r="F24" s="28">
        <v>47.0</v>
      </c>
      <c r="G24" s="28">
        <v>5.0</v>
      </c>
      <c r="H24" s="28">
        <v>52.0</v>
      </c>
      <c r="I24" s="29"/>
      <c r="J24" s="29"/>
      <c r="K24" s="29"/>
      <c r="L24" s="30"/>
      <c r="M24" s="30"/>
      <c r="N24" s="29"/>
      <c r="O24" s="29"/>
      <c r="P24" s="29"/>
      <c r="Q24" s="29"/>
      <c r="R24" s="29"/>
      <c r="S24" s="29"/>
      <c r="T24" s="29"/>
      <c r="U24" s="29"/>
      <c r="V24" s="29"/>
      <c r="W24" s="29"/>
      <c r="X24" s="29"/>
      <c r="Y24" s="29"/>
      <c r="Z24" s="29"/>
    </row>
    <row r="25" ht="18.75" customHeight="1">
      <c r="A25" s="31"/>
      <c r="B25" s="25">
        <v>21.0</v>
      </c>
      <c r="C25" s="26" t="s">
        <v>132</v>
      </c>
      <c r="D25" s="27" t="s">
        <v>133</v>
      </c>
      <c r="E25" s="26" t="s">
        <v>134</v>
      </c>
      <c r="F25" s="28">
        <v>16.0</v>
      </c>
      <c r="G25" s="28">
        <v>2.0</v>
      </c>
      <c r="H25" s="28">
        <v>18.0</v>
      </c>
      <c r="I25" s="29"/>
      <c r="J25" s="29"/>
      <c r="K25" s="29"/>
      <c r="L25" s="30"/>
      <c r="M25" s="30"/>
      <c r="N25" s="29"/>
      <c r="O25" s="29"/>
      <c r="P25" s="29"/>
      <c r="Q25" s="29"/>
      <c r="R25" s="29"/>
      <c r="S25" s="29"/>
      <c r="T25" s="29"/>
      <c r="U25" s="29"/>
      <c r="V25" s="29"/>
      <c r="W25" s="29"/>
      <c r="X25" s="29"/>
      <c r="Y25" s="29"/>
      <c r="Z25" s="29"/>
    </row>
    <row r="26" ht="18.75" customHeight="1">
      <c r="A26" s="31"/>
      <c r="B26" s="25">
        <v>22.0</v>
      </c>
      <c r="C26" s="26" t="s">
        <v>135</v>
      </c>
      <c r="D26" s="27" t="s">
        <v>136</v>
      </c>
      <c r="E26" s="26" t="s">
        <v>137</v>
      </c>
      <c r="F26" s="28">
        <v>36.0</v>
      </c>
      <c r="G26" s="28"/>
      <c r="H26" s="28">
        <v>36.0</v>
      </c>
      <c r="I26" s="29"/>
      <c r="J26" s="29"/>
      <c r="K26" s="29"/>
      <c r="L26" s="30"/>
      <c r="M26" s="30"/>
      <c r="N26" s="29"/>
      <c r="O26" s="29"/>
      <c r="P26" s="29"/>
      <c r="Q26" s="29"/>
      <c r="R26" s="29"/>
      <c r="S26" s="29"/>
      <c r="T26" s="29"/>
      <c r="U26" s="29"/>
      <c r="V26" s="29"/>
      <c r="W26" s="29"/>
      <c r="X26" s="29"/>
      <c r="Y26" s="29"/>
      <c r="Z26" s="29"/>
    </row>
    <row r="27" ht="18.75" customHeight="1">
      <c r="A27" s="31"/>
      <c r="B27" s="25">
        <v>23.0</v>
      </c>
      <c r="C27" s="26" t="s">
        <v>138</v>
      </c>
      <c r="D27" s="27" t="s">
        <v>139</v>
      </c>
      <c r="E27" s="26" t="s">
        <v>140</v>
      </c>
      <c r="F27" s="28">
        <v>15.0</v>
      </c>
      <c r="G27" s="28">
        <v>1.0</v>
      </c>
      <c r="H27" s="28">
        <v>16.0</v>
      </c>
      <c r="I27" s="29"/>
      <c r="J27" s="29"/>
      <c r="K27" s="29"/>
      <c r="L27" s="30"/>
      <c r="M27" s="30"/>
      <c r="N27" s="29"/>
      <c r="O27" s="29"/>
      <c r="P27" s="29"/>
      <c r="Q27" s="29"/>
      <c r="R27" s="29"/>
      <c r="S27" s="29"/>
      <c r="T27" s="29"/>
      <c r="U27" s="29"/>
      <c r="V27" s="29"/>
      <c r="W27" s="29"/>
      <c r="X27" s="29"/>
      <c r="Y27" s="29"/>
      <c r="Z27" s="29"/>
    </row>
    <row r="28" ht="18.75" customHeight="1">
      <c r="A28" s="31"/>
      <c r="B28" s="25">
        <v>24.0</v>
      </c>
      <c r="C28" s="26" t="s">
        <v>141</v>
      </c>
      <c r="D28" s="27" t="s">
        <v>142</v>
      </c>
      <c r="E28" s="26" t="s">
        <v>143</v>
      </c>
      <c r="F28" s="28">
        <v>31.0</v>
      </c>
      <c r="G28" s="28"/>
      <c r="H28" s="28">
        <v>31.0</v>
      </c>
      <c r="I28" s="29"/>
      <c r="J28" s="29"/>
      <c r="K28" s="29"/>
      <c r="L28" s="30"/>
      <c r="M28" s="30"/>
      <c r="N28" s="29"/>
      <c r="O28" s="29"/>
      <c r="P28" s="29"/>
      <c r="Q28" s="29"/>
      <c r="R28" s="29"/>
      <c r="S28" s="29"/>
      <c r="T28" s="29"/>
      <c r="U28" s="29"/>
      <c r="V28" s="29"/>
      <c r="W28" s="29"/>
      <c r="X28" s="29"/>
      <c r="Y28" s="29"/>
      <c r="Z28" s="29"/>
    </row>
    <row r="29" ht="18.75" customHeight="1">
      <c r="A29" s="31"/>
      <c r="B29" s="25">
        <v>25.0</v>
      </c>
      <c r="C29" s="26" t="s">
        <v>144</v>
      </c>
      <c r="D29" s="27" t="s">
        <v>145</v>
      </c>
      <c r="E29" s="26" t="s">
        <v>146</v>
      </c>
      <c r="F29" s="28">
        <v>6.0</v>
      </c>
      <c r="G29" s="28"/>
      <c r="H29" s="28">
        <v>6.0</v>
      </c>
      <c r="I29" s="29"/>
      <c r="J29" s="29"/>
      <c r="K29" s="29"/>
      <c r="L29" s="30"/>
      <c r="M29" s="30"/>
      <c r="N29" s="29"/>
      <c r="O29" s="29"/>
      <c r="P29" s="29"/>
      <c r="Q29" s="29"/>
      <c r="R29" s="29"/>
      <c r="S29" s="29"/>
      <c r="T29" s="29"/>
      <c r="U29" s="29"/>
      <c r="V29" s="29"/>
      <c r="W29" s="29"/>
      <c r="X29" s="29"/>
      <c r="Y29" s="29"/>
      <c r="Z29" s="29"/>
    </row>
    <row r="30" ht="18.75" customHeight="1">
      <c r="A30" s="31"/>
      <c r="B30" s="25">
        <v>26.0</v>
      </c>
      <c r="C30" s="26" t="s">
        <v>147</v>
      </c>
      <c r="D30" s="27" t="s">
        <v>148</v>
      </c>
      <c r="E30" s="26" t="s">
        <v>149</v>
      </c>
      <c r="F30" s="28">
        <v>26.0</v>
      </c>
      <c r="G30" s="28"/>
      <c r="H30" s="28">
        <v>26.0</v>
      </c>
      <c r="I30" s="29"/>
      <c r="J30" s="29"/>
      <c r="K30" s="29"/>
      <c r="L30" s="30"/>
      <c r="M30" s="30"/>
      <c r="N30" s="29"/>
      <c r="O30" s="29"/>
      <c r="P30" s="29"/>
      <c r="Q30" s="29"/>
      <c r="R30" s="29"/>
      <c r="S30" s="29"/>
      <c r="T30" s="29"/>
      <c r="U30" s="29"/>
      <c r="V30" s="29"/>
      <c r="W30" s="29"/>
      <c r="X30" s="29"/>
      <c r="Y30" s="29"/>
      <c r="Z30" s="29"/>
    </row>
    <row r="31" ht="18.75" customHeight="1">
      <c r="A31" s="31"/>
      <c r="B31" s="25">
        <v>27.0</v>
      </c>
      <c r="C31" s="26" t="s">
        <v>150</v>
      </c>
      <c r="D31" s="27" t="s">
        <v>151</v>
      </c>
      <c r="E31" s="26" t="s">
        <v>152</v>
      </c>
      <c r="F31" s="28">
        <v>9.0</v>
      </c>
      <c r="G31" s="28"/>
      <c r="H31" s="28">
        <v>9.0</v>
      </c>
      <c r="I31" s="29"/>
      <c r="J31" s="29"/>
      <c r="K31" s="29"/>
      <c r="L31" s="30"/>
      <c r="M31" s="30"/>
      <c r="N31" s="29"/>
      <c r="O31" s="29"/>
      <c r="P31" s="29"/>
      <c r="Q31" s="29"/>
      <c r="R31" s="29"/>
      <c r="S31" s="29"/>
      <c r="T31" s="29"/>
      <c r="U31" s="29"/>
      <c r="V31" s="29"/>
      <c r="W31" s="29"/>
      <c r="X31" s="29"/>
      <c r="Y31" s="29"/>
      <c r="Z31" s="29"/>
    </row>
    <row r="32" ht="18.75" customHeight="1">
      <c r="A32" s="31"/>
      <c r="B32" s="25">
        <v>28.0</v>
      </c>
      <c r="C32" s="26" t="s">
        <v>153</v>
      </c>
      <c r="D32" s="27" t="s">
        <v>154</v>
      </c>
      <c r="E32" s="26" t="s">
        <v>155</v>
      </c>
      <c r="F32" s="28">
        <v>30.0</v>
      </c>
      <c r="G32" s="28">
        <v>2.0</v>
      </c>
      <c r="H32" s="28">
        <v>32.0</v>
      </c>
      <c r="I32" s="29"/>
      <c r="J32" s="29"/>
      <c r="K32" s="29"/>
      <c r="L32" s="30"/>
      <c r="M32" s="30"/>
      <c r="N32" s="29"/>
      <c r="O32" s="29"/>
      <c r="P32" s="29"/>
      <c r="Q32" s="29"/>
      <c r="R32" s="29"/>
      <c r="S32" s="29"/>
      <c r="T32" s="29"/>
      <c r="U32" s="29"/>
      <c r="V32" s="29"/>
      <c r="W32" s="29"/>
      <c r="X32" s="29"/>
      <c r="Y32" s="29"/>
      <c r="Z32" s="29"/>
    </row>
    <row r="33" ht="18.75" customHeight="1">
      <c r="A33" s="31"/>
      <c r="B33" s="25">
        <v>29.0</v>
      </c>
      <c r="C33" s="26" t="s">
        <v>156</v>
      </c>
      <c r="D33" s="27" t="s">
        <v>157</v>
      </c>
      <c r="E33" s="26" t="s">
        <v>158</v>
      </c>
      <c r="F33" s="28">
        <v>25.0</v>
      </c>
      <c r="G33" s="28"/>
      <c r="H33" s="28">
        <v>25.0</v>
      </c>
      <c r="I33" s="29"/>
      <c r="J33" s="29"/>
      <c r="K33" s="29"/>
      <c r="L33" s="30"/>
      <c r="M33" s="30"/>
      <c r="N33" s="29"/>
      <c r="O33" s="29"/>
      <c r="P33" s="29"/>
      <c r="Q33" s="29"/>
      <c r="R33" s="29"/>
      <c r="S33" s="29"/>
      <c r="T33" s="29"/>
      <c r="U33" s="29"/>
      <c r="V33" s="29"/>
      <c r="W33" s="29"/>
      <c r="X33" s="29"/>
      <c r="Y33" s="29"/>
      <c r="Z33" s="29"/>
    </row>
    <row r="34" ht="18.75" customHeight="1">
      <c r="A34" s="31"/>
      <c r="B34" s="25">
        <v>30.0</v>
      </c>
      <c r="C34" s="26" t="s">
        <v>159</v>
      </c>
      <c r="D34" s="27" t="s">
        <v>160</v>
      </c>
      <c r="E34" s="26" t="s">
        <v>161</v>
      </c>
      <c r="F34" s="28">
        <v>19.0</v>
      </c>
      <c r="G34" s="28"/>
      <c r="H34" s="28">
        <v>19.0</v>
      </c>
      <c r="I34" s="29"/>
      <c r="J34" s="29"/>
      <c r="K34" s="29"/>
      <c r="L34" s="30"/>
      <c r="M34" s="30"/>
      <c r="N34" s="29"/>
      <c r="O34" s="29"/>
      <c r="P34" s="29"/>
      <c r="Q34" s="29"/>
      <c r="R34" s="29"/>
      <c r="S34" s="29"/>
      <c r="T34" s="29"/>
      <c r="U34" s="29"/>
      <c r="V34" s="29"/>
      <c r="W34" s="29"/>
      <c r="X34" s="29"/>
      <c r="Y34" s="29"/>
      <c r="Z34" s="29"/>
    </row>
    <row r="35" ht="18.75" customHeight="1">
      <c r="A35" s="31"/>
      <c r="B35" s="25">
        <v>31.0</v>
      </c>
      <c r="C35" s="26" t="s">
        <v>162</v>
      </c>
      <c r="D35" s="27" t="s">
        <v>163</v>
      </c>
      <c r="E35" s="26" t="s">
        <v>164</v>
      </c>
      <c r="F35" s="28">
        <v>63.0</v>
      </c>
      <c r="G35" s="28">
        <v>6.0</v>
      </c>
      <c r="H35" s="28">
        <v>69.0</v>
      </c>
      <c r="I35" s="29"/>
      <c r="J35" s="29"/>
      <c r="K35" s="29"/>
      <c r="L35" s="30"/>
      <c r="M35" s="30"/>
      <c r="N35" s="29"/>
      <c r="O35" s="29"/>
      <c r="P35" s="29"/>
      <c r="Q35" s="29"/>
      <c r="R35" s="29"/>
      <c r="S35" s="29"/>
      <c r="T35" s="29"/>
      <c r="U35" s="29"/>
      <c r="V35" s="29"/>
      <c r="W35" s="29"/>
      <c r="X35" s="29"/>
      <c r="Y35" s="29"/>
      <c r="Z35" s="29"/>
    </row>
    <row r="36" ht="18.75" customHeight="1">
      <c r="A36" s="31"/>
      <c r="B36" s="25">
        <v>32.0</v>
      </c>
      <c r="C36" s="26" t="s">
        <v>165</v>
      </c>
      <c r="D36" s="27" t="s">
        <v>166</v>
      </c>
      <c r="E36" s="26" t="s">
        <v>167</v>
      </c>
      <c r="F36" s="28">
        <v>1.0</v>
      </c>
      <c r="G36" s="28"/>
      <c r="H36" s="28">
        <v>1.0</v>
      </c>
      <c r="I36" s="29"/>
      <c r="J36" s="29"/>
      <c r="K36" s="29"/>
      <c r="L36" s="30"/>
      <c r="M36" s="30"/>
      <c r="N36" s="29"/>
      <c r="O36" s="29"/>
      <c r="P36" s="29"/>
      <c r="Q36" s="29"/>
      <c r="R36" s="29"/>
      <c r="S36" s="29"/>
      <c r="T36" s="29"/>
      <c r="U36" s="29"/>
      <c r="V36" s="29"/>
      <c r="W36" s="29"/>
      <c r="X36" s="29"/>
      <c r="Y36" s="29"/>
      <c r="Z36" s="29"/>
    </row>
    <row r="37" ht="18.75" customHeight="1">
      <c r="A37" s="31"/>
      <c r="B37" s="25">
        <v>33.0</v>
      </c>
      <c r="C37" s="26" t="s">
        <v>168</v>
      </c>
      <c r="D37" s="27" t="s">
        <v>169</v>
      </c>
      <c r="E37" s="26" t="s">
        <v>170</v>
      </c>
      <c r="F37" s="28">
        <v>5.0</v>
      </c>
      <c r="G37" s="28"/>
      <c r="H37" s="28">
        <v>5.0</v>
      </c>
      <c r="I37" s="29"/>
      <c r="J37" s="29"/>
      <c r="K37" s="29"/>
      <c r="L37" s="30"/>
      <c r="M37" s="30"/>
      <c r="N37" s="29"/>
      <c r="O37" s="29"/>
      <c r="P37" s="29"/>
      <c r="Q37" s="29"/>
      <c r="R37" s="29"/>
      <c r="S37" s="29"/>
      <c r="T37" s="29"/>
      <c r="U37" s="29"/>
      <c r="V37" s="29"/>
      <c r="W37" s="29"/>
      <c r="X37" s="29"/>
      <c r="Y37" s="29"/>
      <c r="Z37" s="29"/>
    </row>
    <row r="38" ht="18.75" customHeight="1">
      <c r="A38" s="31"/>
      <c r="B38" s="25">
        <v>34.0</v>
      </c>
      <c r="C38" s="26" t="s">
        <v>171</v>
      </c>
      <c r="D38" s="27" t="s">
        <v>172</v>
      </c>
      <c r="E38" s="26" t="s">
        <v>173</v>
      </c>
      <c r="F38" s="28">
        <v>1.0</v>
      </c>
      <c r="G38" s="28"/>
      <c r="H38" s="28">
        <v>1.0</v>
      </c>
      <c r="I38" s="29"/>
      <c r="J38" s="29"/>
      <c r="K38" s="29"/>
      <c r="L38" s="30"/>
      <c r="M38" s="30"/>
      <c r="N38" s="29"/>
      <c r="O38" s="29"/>
      <c r="P38" s="29"/>
      <c r="Q38" s="29"/>
      <c r="R38" s="29"/>
      <c r="S38" s="29"/>
      <c r="T38" s="29"/>
      <c r="U38" s="29"/>
      <c r="V38" s="29"/>
      <c r="W38" s="29"/>
      <c r="X38" s="29"/>
      <c r="Y38" s="29"/>
      <c r="Z38" s="29"/>
    </row>
    <row r="39" ht="18.75" customHeight="1">
      <c r="A39" s="31"/>
      <c r="B39" s="25">
        <v>35.0</v>
      </c>
      <c r="C39" s="26" t="s">
        <v>174</v>
      </c>
      <c r="D39" s="27" t="s">
        <v>175</v>
      </c>
      <c r="E39" s="26" t="s">
        <v>176</v>
      </c>
      <c r="F39" s="28">
        <v>20.0</v>
      </c>
      <c r="G39" s="28"/>
      <c r="H39" s="28">
        <v>20.0</v>
      </c>
      <c r="I39" s="29"/>
      <c r="J39" s="29"/>
      <c r="K39" s="29"/>
      <c r="L39" s="30"/>
      <c r="M39" s="30"/>
      <c r="N39" s="29"/>
      <c r="O39" s="29"/>
      <c r="P39" s="29"/>
      <c r="Q39" s="29"/>
      <c r="R39" s="29"/>
      <c r="S39" s="29"/>
      <c r="T39" s="29"/>
      <c r="U39" s="29"/>
      <c r="V39" s="29"/>
      <c r="W39" s="29"/>
      <c r="X39" s="29"/>
      <c r="Y39" s="29"/>
      <c r="Z39" s="29"/>
    </row>
    <row r="40" ht="18.75" customHeight="1">
      <c r="A40" s="32"/>
      <c r="B40" s="25">
        <v>36.0</v>
      </c>
      <c r="C40" s="26" t="s">
        <v>177</v>
      </c>
      <c r="D40" s="27" t="s">
        <v>178</v>
      </c>
      <c r="E40" s="26" t="s">
        <v>179</v>
      </c>
      <c r="F40" s="28"/>
      <c r="G40" s="28">
        <v>1.0</v>
      </c>
      <c r="H40" s="28">
        <v>1.0</v>
      </c>
      <c r="I40" s="29"/>
      <c r="J40" s="29"/>
      <c r="K40" s="29"/>
      <c r="L40" s="30"/>
      <c r="M40" s="30"/>
      <c r="N40" s="29"/>
      <c r="O40" s="29"/>
      <c r="P40" s="29"/>
      <c r="Q40" s="29"/>
      <c r="R40" s="29"/>
      <c r="S40" s="29"/>
      <c r="T40" s="29"/>
      <c r="U40" s="29"/>
      <c r="V40" s="29"/>
      <c r="W40" s="29"/>
      <c r="X40" s="29"/>
      <c r="Y40" s="29"/>
      <c r="Z40" s="29"/>
    </row>
    <row r="41" ht="18.75" customHeight="1">
      <c r="A41" s="33" t="s">
        <v>180</v>
      </c>
      <c r="B41" s="25">
        <v>37.0</v>
      </c>
      <c r="C41" s="26" t="s">
        <v>181</v>
      </c>
      <c r="D41" s="27" t="s">
        <v>182</v>
      </c>
      <c r="E41" s="26" t="s">
        <v>183</v>
      </c>
      <c r="F41" s="28">
        <v>25.0</v>
      </c>
      <c r="G41" s="28"/>
      <c r="H41" s="28">
        <v>25.0</v>
      </c>
      <c r="I41" s="29"/>
      <c r="J41" s="29"/>
      <c r="K41" s="29"/>
      <c r="L41" s="29"/>
      <c r="M41" s="29"/>
      <c r="N41" s="29"/>
      <c r="O41" s="29"/>
      <c r="P41" s="29"/>
      <c r="Q41" s="29"/>
      <c r="R41" s="29"/>
      <c r="S41" s="29"/>
      <c r="T41" s="29"/>
      <c r="U41" s="29"/>
      <c r="V41" s="29"/>
      <c r="W41" s="29"/>
      <c r="X41" s="29"/>
      <c r="Y41" s="29"/>
      <c r="Z41" s="29"/>
    </row>
    <row r="42" ht="18.75" customHeight="1">
      <c r="A42" s="33" t="s">
        <v>184</v>
      </c>
      <c r="B42" s="25">
        <v>38.0</v>
      </c>
      <c r="C42" s="26" t="s">
        <v>185</v>
      </c>
      <c r="D42" s="27" t="s">
        <v>186</v>
      </c>
      <c r="E42" s="26" t="s">
        <v>187</v>
      </c>
      <c r="F42" s="28">
        <v>22.0</v>
      </c>
      <c r="G42" s="28">
        <v>3.0</v>
      </c>
      <c r="H42" s="28">
        <v>25.0</v>
      </c>
      <c r="I42" s="29"/>
      <c r="J42" s="29"/>
      <c r="K42" s="29"/>
      <c r="L42" s="29"/>
      <c r="M42" s="29"/>
      <c r="N42" s="29"/>
      <c r="O42" s="29"/>
      <c r="P42" s="29"/>
      <c r="Q42" s="29"/>
      <c r="R42" s="29"/>
      <c r="S42" s="29"/>
      <c r="T42" s="29"/>
      <c r="U42" s="29"/>
      <c r="V42" s="29"/>
      <c r="W42" s="29"/>
      <c r="X42" s="29"/>
      <c r="Y42" s="29"/>
      <c r="Z42" s="29"/>
    </row>
    <row r="43" ht="18.75" customHeight="1">
      <c r="A43" s="33" t="s">
        <v>188</v>
      </c>
      <c r="B43" s="25">
        <v>39.0</v>
      </c>
      <c r="C43" s="26" t="s">
        <v>189</v>
      </c>
      <c r="D43" s="27" t="s">
        <v>190</v>
      </c>
      <c r="E43" s="26" t="s">
        <v>191</v>
      </c>
      <c r="F43" s="28">
        <v>50.0</v>
      </c>
      <c r="G43" s="28">
        <v>4.0</v>
      </c>
      <c r="H43" s="28">
        <v>54.0</v>
      </c>
      <c r="I43" s="29"/>
      <c r="J43" s="29"/>
      <c r="K43" s="29"/>
      <c r="L43" s="29"/>
      <c r="M43" s="29"/>
      <c r="N43" s="29"/>
      <c r="O43" s="29"/>
      <c r="P43" s="29"/>
      <c r="Q43" s="29"/>
      <c r="R43" s="29"/>
      <c r="S43" s="29"/>
      <c r="T43" s="29"/>
      <c r="U43" s="29"/>
      <c r="V43" s="29"/>
      <c r="W43" s="29"/>
      <c r="X43" s="29"/>
      <c r="Y43" s="29"/>
      <c r="Z43" s="29"/>
    </row>
    <row r="44" ht="18.75" customHeight="1">
      <c r="A44" s="33" t="s">
        <v>192</v>
      </c>
      <c r="B44" s="25">
        <v>40.0</v>
      </c>
      <c r="C44" s="26" t="s">
        <v>193</v>
      </c>
      <c r="D44" s="27" t="s">
        <v>194</v>
      </c>
      <c r="E44" s="26" t="s">
        <v>195</v>
      </c>
      <c r="F44" s="28">
        <v>6.0</v>
      </c>
      <c r="G44" s="28">
        <v>6.0</v>
      </c>
      <c r="H44" s="28">
        <v>12.0</v>
      </c>
      <c r="I44" s="29"/>
      <c r="J44" s="29"/>
      <c r="K44" s="29"/>
      <c r="L44" s="29"/>
      <c r="M44" s="29"/>
      <c r="N44" s="29"/>
      <c r="O44" s="29"/>
      <c r="P44" s="29"/>
      <c r="Q44" s="29"/>
      <c r="R44" s="29"/>
      <c r="S44" s="29"/>
      <c r="T44" s="29"/>
      <c r="U44" s="29"/>
      <c r="V44" s="29"/>
      <c r="W44" s="29"/>
      <c r="X44" s="29"/>
      <c r="Y44" s="29"/>
      <c r="Z44" s="29"/>
    </row>
    <row r="45" ht="18.75" customHeight="1">
      <c r="A45" s="34" t="s">
        <v>196</v>
      </c>
      <c r="B45" s="25">
        <v>41.0</v>
      </c>
      <c r="C45" s="26" t="s">
        <v>197</v>
      </c>
      <c r="D45" s="27" t="s">
        <v>198</v>
      </c>
      <c r="E45" s="26" t="s">
        <v>199</v>
      </c>
      <c r="F45" s="28">
        <v>9.0</v>
      </c>
      <c r="G45" s="28">
        <v>8.0</v>
      </c>
      <c r="H45" s="28">
        <v>17.0</v>
      </c>
      <c r="I45" s="29"/>
      <c r="J45" s="29"/>
      <c r="K45" s="29"/>
      <c r="L45" s="29"/>
      <c r="M45" s="29"/>
      <c r="N45" s="29"/>
      <c r="O45" s="29"/>
      <c r="P45" s="29"/>
      <c r="Q45" s="29"/>
      <c r="R45" s="29"/>
      <c r="S45" s="29"/>
      <c r="T45" s="29"/>
      <c r="U45" s="29"/>
      <c r="V45" s="29"/>
      <c r="W45" s="29"/>
      <c r="X45" s="29"/>
      <c r="Y45" s="29"/>
      <c r="Z45" s="29"/>
    </row>
    <row r="46" ht="18.75" customHeight="1">
      <c r="A46" s="32"/>
      <c r="B46" s="25">
        <v>42.0</v>
      </c>
      <c r="C46" s="26" t="s">
        <v>200</v>
      </c>
      <c r="D46" s="27" t="s">
        <v>201</v>
      </c>
      <c r="E46" s="26" t="s">
        <v>202</v>
      </c>
      <c r="F46" s="28">
        <v>88.0</v>
      </c>
      <c r="G46" s="28">
        <v>19.0</v>
      </c>
      <c r="H46" s="28">
        <v>107.0</v>
      </c>
      <c r="I46" s="29"/>
      <c r="J46" s="29"/>
      <c r="K46" s="29"/>
      <c r="L46" s="29"/>
      <c r="M46" s="29"/>
      <c r="N46" s="29"/>
      <c r="O46" s="29"/>
      <c r="P46" s="29"/>
      <c r="Q46" s="29"/>
      <c r="R46" s="29"/>
      <c r="S46" s="29"/>
      <c r="T46" s="29"/>
      <c r="U46" s="29"/>
      <c r="V46" s="29"/>
      <c r="W46" s="29"/>
      <c r="X46" s="29"/>
      <c r="Y46" s="29"/>
      <c r="Z46" s="29"/>
    </row>
    <row r="47" ht="18.75" customHeight="1">
      <c r="A47" s="33" t="s">
        <v>203</v>
      </c>
      <c r="B47" s="25">
        <v>43.0</v>
      </c>
      <c r="C47" s="26" t="s">
        <v>204</v>
      </c>
      <c r="D47" s="27" t="s">
        <v>205</v>
      </c>
      <c r="E47" s="26" t="s">
        <v>206</v>
      </c>
      <c r="F47" s="28">
        <v>16.0</v>
      </c>
      <c r="G47" s="28">
        <v>3.0</v>
      </c>
      <c r="H47" s="28">
        <v>19.0</v>
      </c>
      <c r="I47" s="29"/>
      <c r="J47" s="29"/>
      <c r="K47" s="29"/>
      <c r="L47" s="29"/>
      <c r="M47" s="29"/>
      <c r="N47" s="29"/>
      <c r="O47" s="29"/>
      <c r="P47" s="29"/>
      <c r="Q47" s="29"/>
      <c r="R47" s="29"/>
      <c r="S47" s="29"/>
      <c r="T47" s="29"/>
      <c r="U47" s="29"/>
      <c r="V47" s="29"/>
      <c r="W47" s="29"/>
      <c r="X47" s="29"/>
      <c r="Y47" s="29"/>
      <c r="Z47" s="29"/>
    </row>
    <row r="48" ht="18.75" customHeight="1">
      <c r="A48" s="33" t="s">
        <v>207</v>
      </c>
      <c r="B48" s="25">
        <v>44.0</v>
      </c>
      <c r="C48" s="26" t="s">
        <v>208</v>
      </c>
      <c r="D48" s="27" t="s">
        <v>209</v>
      </c>
      <c r="E48" s="26" t="s">
        <v>210</v>
      </c>
      <c r="F48" s="28">
        <v>29.0</v>
      </c>
      <c r="G48" s="28">
        <v>6.0</v>
      </c>
      <c r="H48" s="28">
        <v>35.0</v>
      </c>
      <c r="I48" s="29"/>
      <c r="J48" s="29"/>
      <c r="K48" s="29"/>
      <c r="L48" s="29"/>
      <c r="M48" s="29"/>
      <c r="N48" s="29"/>
      <c r="O48" s="29"/>
      <c r="P48" s="29"/>
      <c r="Q48" s="29"/>
      <c r="R48" s="29"/>
      <c r="S48" s="29"/>
      <c r="T48" s="29"/>
      <c r="U48" s="29"/>
      <c r="V48" s="29"/>
      <c r="W48" s="29"/>
      <c r="X48" s="29"/>
      <c r="Y48" s="29"/>
      <c r="Z48" s="29"/>
    </row>
    <row r="49" ht="18.75" customHeight="1">
      <c r="A49" s="34" t="s">
        <v>211</v>
      </c>
      <c r="B49" s="25">
        <v>45.0</v>
      </c>
      <c r="C49" s="26" t="s">
        <v>212</v>
      </c>
      <c r="D49" s="27" t="s">
        <v>213</v>
      </c>
      <c r="E49" s="26" t="s">
        <v>214</v>
      </c>
      <c r="F49" s="28">
        <v>17.0</v>
      </c>
      <c r="G49" s="28">
        <v>9.0</v>
      </c>
      <c r="H49" s="28">
        <v>26.0</v>
      </c>
      <c r="I49" s="29"/>
      <c r="J49" s="29"/>
      <c r="K49" s="29"/>
      <c r="L49" s="29"/>
      <c r="M49" s="29"/>
      <c r="N49" s="29"/>
      <c r="O49" s="29"/>
      <c r="P49" s="29"/>
      <c r="Q49" s="29"/>
      <c r="R49" s="29"/>
      <c r="S49" s="29"/>
      <c r="T49" s="29"/>
      <c r="U49" s="29"/>
      <c r="V49" s="29"/>
      <c r="W49" s="29"/>
      <c r="X49" s="29"/>
      <c r="Y49" s="29"/>
      <c r="Z49" s="29"/>
    </row>
    <row r="50" ht="18.75" customHeight="1">
      <c r="A50" s="32"/>
      <c r="B50" s="25">
        <v>46.0</v>
      </c>
      <c r="C50" s="26" t="s">
        <v>215</v>
      </c>
      <c r="D50" s="27" t="s">
        <v>216</v>
      </c>
      <c r="E50" s="26" t="s">
        <v>217</v>
      </c>
      <c r="F50" s="35">
        <v>53.0</v>
      </c>
      <c r="G50" s="35">
        <v>65.0</v>
      </c>
      <c r="H50" s="28">
        <v>118.0</v>
      </c>
      <c r="I50" s="29"/>
      <c r="J50" s="29"/>
      <c r="K50" s="29"/>
      <c r="L50" s="29"/>
      <c r="M50" s="29"/>
      <c r="N50" s="29"/>
      <c r="O50" s="29"/>
      <c r="P50" s="29"/>
      <c r="Q50" s="29"/>
      <c r="R50" s="29"/>
      <c r="S50" s="29"/>
      <c r="T50" s="29"/>
      <c r="U50" s="29"/>
      <c r="V50" s="29"/>
      <c r="W50" s="29"/>
      <c r="X50" s="29"/>
      <c r="Y50" s="29"/>
      <c r="Z50" s="29"/>
    </row>
    <row r="51" ht="18.75" customHeight="1">
      <c r="A51" s="34" t="s">
        <v>218</v>
      </c>
      <c r="B51" s="25">
        <v>47.0</v>
      </c>
      <c r="C51" s="26" t="s">
        <v>105</v>
      </c>
      <c r="D51" s="27" t="s">
        <v>106</v>
      </c>
      <c r="E51" s="26" t="s">
        <v>219</v>
      </c>
      <c r="F51" s="35"/>
      <c r="G51" s="35">
        <v>3.0</v>
      </c>
      <c r="H51" s="28">
        <v>3.0</v>
      </c>
      <c r="I51" s="29"/>
      <c r="J51" s="29"/>
      <c r="K51" s="29"/>
      <c r="L51" s="29"/>
      <c r="M51" s="29"/>
      <c r="N51" s="29"/>
      <c r="O51" s="29"/>
      <c r="P51" s="29"/>
      <c r="Q51" s="29"/>
      <c r="R51" s="29"/>
      <c r="S51" s="29"/>
      <c r="T51" s="29"/>
      <c r="U51" s="29"/>
      <c r="V51" s="29"/>
      <c r="W51" s="29"/>
      <c r="X51" s="29"/>
      <c r="Y51" s="29"/>
      <c r="Z51" s="29"/>
    </row>
    <row r="52" ht="18.75" customHeight="1">
      <c r="A52" s="32"/>
      <c r="B52" s="25">
        <v>48.0</v>
      </c>
      <c r="C52" s="26" t="s">
        <v>220</v>
      </c>
      <c r="D52" s="27" t="s">
        <v>221</v>
      </c>
      <c r="E52" s="26" t="s">
        <v>222</v>
      </c>
      <c r="F52" s="35">
        <v>17.0</v>
      </c>
      <c r="G52" s="35">
        <v>12.0</v>
      </c>
      <c r="H52" s="28">
        <v>29.0</v>
      </c>
      <c r="I52" s="29"/>
      <c r="J52" s="29"/>
      <c r="K52" s="29"/>
      <c r="L52" s="29"/>
      <c r="M52" s="29"/>
      <c r="N52" s="29"/>
      <c r="O52" s="29"/>
      <c r="P52" s="29"/>
      <c r="Q52" s="29"/>
      <c r="R52" s="29"/>
      <c r="S52" s="29"/>
      <c r="T52" s="29"/>
      <c r="U52" s="29"/>
      <c r="V52" s="29"/>
      <c r="W52" s="29"/>
      <c r="X52" s="29"/>
      <c r="Y52" s="29"/>
      <c r="Z52" s="29"/>
    </row>
    <row r="53" ht="18.75" customHeight="1">
      <c r="A53" s="34" t="s">
        <v>223</v>
      </c>
      <c r="B53" s="25">
        <v>49.0</v>
      </c>
      <c r="C53" s="26" t="s">
        <v>224</v>
      </c>
      <c r="D53" s="27" t="s">
        <v>225</v>
      </c>
      <c r="E53" s="26" t="s">
        <v>226</v>
      </c>
      <c r="F53" s="28">
        <v>42.0</v>
      </c>
      <c r="G53" s="28"/>
      <c r="H53" s="28">
        <v>42.0</v>
      </c>
      <c r="I53" s="29"/>
      <c r="J53" s="29"/>
      <c r="K53" s="29"/>
      <c r="L53" s="29"/>
      <c r="M53" s="29"/>
      <c r="N53" s="29"/>
      <c r="O53" s="29"/>
      <c r="P53" s="29"/>
      <c r="Q53" s="29"/>
      <c r="R53" s="29"/>
      <c r="S53" s="29"/>
      <c r="T53" s="29"/>
      <c r="U53" s="29"/>
      <c r="V53" s="29"/>
      <c r="W53" s="29"/>
      <c r="X53" s="29"/>
      <c r="Y53" s="29"/>
      <c r="Z53" s="29"/>
    </row>
    <row r="54" ht="18.75" customHeight="1">
      <c r="A54" s="32"/>
      <c r="B54" s="25">
        <v>50.0</v>
      </c>
      <c r="C54" s="26" t="s">
        <v>227</v>
      </c>
      <c r="D54" s="27" t="s">
        <v>228</v>
      </c>
      <c r="E54" s="26" t="s">
        <v>229</v>
      </c>
      <c r="F54" s="35">
        <v>111.0</v>
      </c>
      <c r="G54" s="35">
        <v>10.0</v>
      </c>
      <c r="H54" s="28">
        <v>121.0</v>
      </c>
      <c r="I54" s="29"/>
      <c r="J54" s="29"/>
      <c r="K54" s="29"/>
      <c r="L54" s="29"/>
      <c r="M54" s="29"/>
      <c r="N54" s="29"/>
      <c r="O54" s="29"/>
      <c r="P54" s="29"/>
      <c r="Q54" s="29"/>
      <c r="R54" s="29"/>
      <c r="S54" s="29"/>
      <c r="T54" s="29"/>
      <c r="U54" s="29"/>
      <c r="V54" s="29"/>
      <c r="W54" s="29"/>
      <c r="X54" s="29"/>
      <c r="Y54" s="29"/>
      <c r="Z54" s="29"/>
    </row>
    <row r="55" ht="18.75" customHeight="1">
      <c r="A55" s="33" t="s">
        <v>230</v>
      </c>
      <c r="B55" s="25">
        <v>51.0</v>
      </c>
      <c r="C55" s="26" t="s">
        <v>231</v>
      </c>
      <c r="D55" s="27" t="s">
        <v>232</v>
      </c>
      <c r="E55" s="26" t="s">
        <v>233</v>
      </c>
      <c r="F55" s="35">
        <v>32.0</v>
      </c>
      <c r="G55" s="35">
        <v>21.0</v>
      </c>
      <c r="H55" s="28">
        <v>53.0</v>
      </c>
      <c r="I55" s="29"/>
      <c r="J55" s="29"/>
      <c r="K55" s="29"/>
      <c r="L55" s="29"/>
      <c r="M55" s="29"/>
      <c r="N55" s="29"/>
      <c r="O55" s="29"/>
      <c r="P55" s="29"/>
      <c r="Q55" s="29"/>
      <c r="R55" s="29"/>
      <c r="S55" s="29"/>
      <c r="T55" s="29"/>
      <c r="U55" s="29"/>
      <c r="V55" s="29"/>
      <c r="W55" s="29"/>
      <c r="X55" s="29"/>
      <c r="Y55" s="29"/>
      <c r="Z55" s="29"/>
    </row>
    <row r="56" ht="18.75" customHeight="1">
      <c r="A56" s="36" t="s">
        <v>234</v>
      </c>
      <c r="B56" s="25">
        <v>52.0</v>
      </c>
      <c r="C56" s="26" t="s">
        <v>235</v>
      </c>
      <c r="D56" s="27" t="s">
        <v>236</v>
      </c>
      <c r="E56" s="26" t="s">
        <v>237</v>
      </c>
      <c r="F56" s="35">
        <v>8.0</v>
      </c>
      <c r="G56" s="35">
        <v>1.0</v>
      </c>
      <c r="H56" s="28">
        <v>9.0</v>
      </c>
      <c r="I56" s="29"/>
      <c r="J56" s="29"/>
      <c r="K56" s="29"/>
      <c r="L56" s="29"/>
      <c r="M56" s="29"/>
      <c r="N56" s="29"/>
      <c r="O56" s="29"/>
      <c r="P56" s="29"/>
      <c r="Q56" s="29"/>
      <c r="R56" s="29"/>
      <c r="S56" s="29"/>
      <c r="T56" s="29"/>
      <c r="U56" s="29"/>
      <c r="V56" s="29"/>
      <c r="W56" s="29"/>
      <c r="X56" s="29"/>
      <c r="Y56" s="29"/>
      <c r="Z56" s="29"/>
    </row>
    <row r="57" ht="18.75" customHeight="1">
      <c r="A57" s="37"/>
      <c r="B57" s="38"/>
      <c r="C57" s="29"/>
      <c r="D57" s="39"/>
      <c r="E57" s="29"/>
      <c r="F57" s="40"/>
      <c r="G57" s="40"/>
      <c r="H57" s="40"/>
      <c r="I57" s="29"/>
      <c r="J57" s="29"/>
      <c r="K57" s="29"/>
      <c r="L57" s="29"/>
      <c r="M57" s="29"/>
      <c r="N57" s="29"/>
      <c r="O57" s="29"/>
      <c r="P57" s="29"/>
      <c r="Q57" s="29"/>
      <c r="R57" s="29"/>
      <c r="S57" s="29"/>
      <c r="T57" s="29"/>
      <c r="U57" s="29"/>
      <c r="V57" s="29"/>
      <c r="W57" s="29"/>
      <c r="X57" s="29"/>
      <c r="Y57" s="29"/>
      <c r="Z57" s="29"/>
    </row>
    <row r="58" ht="18.75" customHeight="1">
      <c r="A58" s="37"/>
      <c r="B58" s="38"/>
      <c r="C58" s="29"/>
      <c r="D58" s="39"/>
      <c r="E58" s="29"/>
      <c r="F58" s="40"/>
      <c r="G58" s="40"/>
      <c r="H58" s="40"/>
      <c r="I58" s="29"/>
      <c r="J58" s="29"/>
      <c r="K58" s="29"/>
      <c r="L58" s="29"/>
      <c r="M58" s="29"/>
      <c r="N58" s="29"/>
      <c r="O58" s="29"/>
      <c r="P58" s="29"/>
      <c r="Q58" s="29"/>
      <c r="R58" s="29"/>
      <c r="S58" s="29"/>
      <c r="T58" s="29"/>
      <c r="U58" s="29"/>
      <c r="V58" s="29"/>
      <c r="W58" s="29"/>
      <c r="X58" s="29"/>
      <c r="Y58" s="29"/>
      <c r="Z58" s="29"/>
    </row>
    <row r="59" ht="18.75" customHeight="1">
      <c r="A59" s="37"/>
      <c r="B59" s="38"/>
      <c r="C59" s="29"/>
      <c r="D59" s="39"/>
      <c r="E59" s="29"/>
      <c r="F59" s="40"/>
      <c r="G59" s="40"/>
      <c r="H59" s="40"/>
      <c r="I59" s="29"/>
      <c r="J59" s="29"/>
      <c r="K59" s="29"/>
      <c r="L59" s="29"/>
      <c r="M59" s="29"/>
      <c r="N59" s="29"/>
      <c r="O59" s="29"/>
      <c r="P59" s="29"/>
      <c r="Q59" s="29"/>
      <c r="R59" s="29"/>
      <c r="S59" s="29"/>
      <c r="T59" s="29"/>
      <c r="U59" s="29"/>
      <c r="V59" s="29"/>
      <c r="W59" s="29"/>
      <c r="X59" s="29"/>
      <c r="Y59" s="29"/>
      <c r="Z59" s="29"/>
    </row>
    <row r="60" ht="18.75" customHeight="1">
      <c r="A60" s="37"/>
      <c r="B60" s="38"/>
      <c r="C60" s="29"/>
      <c r="D60" s="39"/>
      <c r="E60" s="29"/>
      <c r="F60" s="40"/>
      <c r="G60" s="40"/>
      <c r="H60" s="40"/>
      <c r="I60" s="29"/>
      <c r="J60" s="29"/>
      <c r="K60" s="29"/>
      <c r="L60" s="29"/>
      <c r="M60" s="29"/>
      <c r="N60" s="29"/>
      <c r="O60" s="29"/>
      <c r="P60" s="29"/>
      <c r="Q60" s="29"/>
      <c r="R60" s="29"/>
      <c r="S60" s="29"/>
      <c r="T60" s="29"/>
      <c r="U60" s="29"/>
      <c r="V60" s="29"/>
      <c r="W60" s="29"/>
      <c r="X60" s="29"/>
      <c r="Y60" s="29"/>
      <c r="Z60" s="29"/>
    </row>
    <row r="61" ht="18.75" customHeight="1">
      <c r="A61" s="37"/>
      <c r="B61" s="38"/>
      <c r="C61" s="29"/>
      <c r="D61" s="39"/>
      <c r="E61" s="29"/>
      <c r="F61" s="40"/>
      <c r="G61" s="40"/>
      <c r="H61" s="40"/>
      <c r="I61" s="29"/>
      <c r="J61" s="29"/>
      <c r="K61" s="29"/>
      <c r="L61" s="29"/>
      <c r="M61" s="29"/>
      <c r="N61" s="29"/>
      <c r="O61" s="29"/>
      <c r="P61" s="29"/>
      <c r="Q61" s="29"/>
      <c r="R61" s="29"/>
      <c r="S61" s="29"/>
      <c r="T61" s="29"/>
      <c r="U61" s="29"/>
      <c r="V61" s="29"/>
      <c r="W61" s="29"/>
      <c r="X61" s="29"/>
      <c r="Y61" s="29"/>
      <c r="Z61" s="29"/>
    </row>
    <row r="62" ht="18.75" customHeight="1">
      <c r="A62" s="37"/>
      <c r="B62" s="38"/>
      <c r="C62" s="29"/>
      <c r="D62" s="39"/>
      <c r="E62" s="29"/>
      <c r="F62" s="40"/>
      <c r="G62" s="40"/>
      <c r="H62" s="40"/>
      <c r="I62" s="29"/>
      <c r="J62" s="29"/>
      <c r="K62" s="29"/>
      <c r="L62" s="29"/>
      <c r="M62" s="29"/>
      <c r="N62" s="29"/>
      <c r="O62" s="29"/>
      <c r="P62" s="29"/>
      <c r="Q62" s="29"/>
      <c r="R62" s="29"/>
      <c r="S62" s="29"/>
      <c r="T62" s="29"/>
      <c r="U62" s="29"/>
      <c r="V62" s="29"/>
      <c r="W62" s="29"/>
      <c r="X62" s="29"/>
      <c r="Y62" s="29"/>
      <c r="Z62" s="29"/>
    </row>
    <row r="63" ht="18.75" customHeight="1">
      <c r="A63" s="37"/>
      <c r="B63" s="38"/>
      <c r="C63" s="29"/>
      <c r="D63" s="39"/>
      <c r="E63" s="29"/>
      <c r="F63" s="40"/>
      <c r="G63" s="40"/>
      <c r="H63" s="40"/>
      <c r="I63" s="29"/>
      <c r="J63" s="29"/>
      <c r="K63" s="29"/>
      <c r="L63" s="29"/>
      <c r="M63" s="29"/>
      <c r="N63" s="29"/>
      <c r="O63" s="29"/>
      <c r="P63" s="29"/>
      <c r="Q63" s="29"/>
      <c r="R63" s="29"/>
      <c r="S63" s="29"/>
      <c r="T63" s="29"/>
      <c r="U63" s="29"/>
      <c r="V63" s="29"/>
      <c r="W63" s="29"/>
      <c r="X63" s="29"/>
      <c r="Y63" s="29"/>
      <c r="Z63" s="29"/>
    </row>
    <row r="64" ht="18.75" customHeight="1">
      <c r="A64" s="37"/>
      <c r="B64" s="38"/>
      <c r="C64" s="29"/>
      <c r="D64" s="39"/>
      <c r="E64" s="29"/>
      <c r="F64" s="40"/>
      <c r="G64" s="40"/>
      <c r="H64" s="40"/>
      <c r="I64" s="29"/>
      <c r="J64" s="29"/>
      <c r="K64" s="29"/>
      <c r="L64" s="29"/>
      <c r="M64" s="29"/>
      <c r="N64" s="29"/>
      <c r="O64" s="29"/>
      <c r="P64" s="29"/>
      <c r="Q64" s="29"/>
      <c r="R64" s="29"/>
      <c r="S64" s="29"/>
      <c r="T64" s="29"/>
      <c r="U64" s="29"/>
      <c r="V64" s="29"/>
      <c r="W64" s="29"/>
      <c r="X64" s="29"/>
      <c r="Y64" s="29"/>
      <c r="Z64" s="29"/>
    </row>
    <row r="65" ht="18.75" customHeight="1">
      <c r="A65" s="37"/>
      <c r="B65" s="38"/>
      <c r="C65" s="29"/>
      <c r="D65" s="39"/>
      <c r="E65" s="29"/>
      <c r="F65" s="40"/>
      <c r="G65" s="40"/>
      <c r="H65" s="40"/>
      <c r="I65" s="29"/>
      <c r="J65" s="29"/>
      <c r="K65" s="29"/>
      <c r="L65" s="29"/>
      <c r="M65" s="29"/>
      <c r="N65" s="29"/>
      <c r="O65" s="29"/>
      <c r="P65" s="29"/>
      <c r="Q65" s="29"/>
      <c r="R65" s="29"/>
      <c r="S65" s="29"/>
      <c r="T65" s="29"/>
      <c r="U65" s="29"/>
      <c r="V65" s="29"/>
      <c r="W65" s="29"/>
      <c r="X65" s="29"/>
      <c r="Y65" s="29"/>
      <c r="Z65" s="29"/>
    </row>
    <row r="66" ht="18.75" customHeight="1">
      <c r="A66" s="37"/>
      <c r="B66" s="38"/>
      <c r="C66" s="29"/>
      <c r="D66" s="39"/>
      <c r="E66" s="29"/>
      <c r="F66" s="40"/>
      <c r="G66" s="40"/>
      <c r="H66" s="40"/>
      <c r="I66" s="29"/>
      <c r="J66" s="29"/>
      <c r="K66" s="29"/>
      <c r="L66" s="29"/>
      <c r="M66" s="29"/>
      <c r="N66" s="29"/>
      <c r="O66" s="29"/>
      <c r="P66" s="29"/>
      <c r="Q66" s="29"/>
      <c r="R66" s="29"/>
      <c r="S66" s="29"/>
      <c r="T66" s="29"/>
      <c r="U66" s="29"/>
      <c r="V66" s="29"/>
      <c r="W66" s="29"/>
      <c r="X66" s="29"/>
      <c r="Y66" s="29"/>
      <c r="Z66" s="29"/>
    </row>
    <row r="67" ht="18.75" customHeight="1">
      <c r="A67" s="37"/>
      <c r="B67" s="38"/>
      <c r="C67" s="29"/>
      <c r="D67" s="39"/>
      <c r="E67" s="29"/>
      <c r="F67" s="40"/>
      <c r="G67" s="40"/>
      <c r="H67" s="40"/>
      <c r="I67" s="29"/>
      <c r="J67" s="29"/>
      <c r="K67" s="29"/>
      <c r="L67" s="29"/>
      <c r="M67" s="29"/>
      <c r="N67" s="29"/>
      <c r="O67" s="29"/>
      <c r="P67" s="29"/>
      <c r="Q67" s="29"/>
      <c r="R67" s="29"/>
      <c r="S67" s="29"/>
      <c r="T67" s="29"/>
      <c r="U67" s="29"/>
      <c r="V67" s="29"/>
      <c r="W67" s="29"/>
      <c r="X67" s="29"/>
      <c r="Y67" s="29"/>
      <c r="Z67" s="29"/>
    </row>
    <row r="68" ht="18.75" customHeight="1">
      <c r="A68" s="37"/>
      <c r="B68" s="38"/>
      <c r="C68" s="29"/>
      <c r="D68" s="39"/>
      <c r="E68" s="29"/>
      <c r="F68" s="40"/>
      <c r="G68" s="40"/>
      <c r="H68" s="40"/>
      <c r="I68" s="29"/>
      <c r="J68" s="29"/>
      <c r="K68" s="29"/>
      <c r="L68" s="29"/>
      <c r="M68" s="29"/>
      <c r="N68" s="29"/>
      <c r="O68" s="29"/>
      <c r="P68" s="29"/>
      <c r="Q68" s="29"/>
      <c r="R68" s="29"/>
      <c r="S68" s="29"/>
      <c r="T68" s="29"/>
      <c r="U68" s="29"/>
      <c r="V68" s="29"/>
      <c r="W68" s="29"/>
      <c r="X68" s="29"/>
      <c r="Y68" s="29"/>
      <c r="Z68" s="29"/>
    </row>
    <row r="69" ht="18.75" customHeight="1">
      <c r="A69" s="37"/>
      <c r="B69" s="38"/>
      <c r="C69" s="29"/>
      <c r="D69" s="39"/>
      <c r="E69" s="29"/>
      <c r="F69" s="40"/>
      <c r="G69" s="40"/>
      <c r="H69" s="40"/>
      <c r="I69" s="29"/>
      <c r="J69" s="29"/>
      <c r="K69" s="29"/>
      <c r="L69" s="29"/>
      <c r="M69" s="29"/>
      <c r="N69" s="29"/>
      <c r="O69" s="29"/>
      <c r="P69" s="29"/>
      <c r="Q69" s="29"/>
      <c r="R69" s="29"/>
      <c r="S69" s="29"/>
      <c r="T69" s="29"/>
      <c r="U69" s="29"/>
      <c r="V69" s="29"/>
      <c r="W69" s="29"/>
      <c r="X69" s="29"/>
      <c r="Y69" s="29"/>
      <c r="Z69" s="29"/>
    </row>
    <row r="70" ht="18.75" customHeight="1">
      <c r="A70" s="37"/>
      <c r="B70" s="38"/>
      <c r="C70" s="29"/>
      <c r="D70" s="39"/>
      <c r="E70" s="29"/>
      <c r="F70" s="40"/>
      <c r="G70" s="40"/>
      <c r="H70" s="40"/>
      <c r="I70" s="29"/>
      <c r="J70" s="29"/>
      <c r="K70" s="29"/>
      <c r="L70" s="29"/>
      <c r="M70" s="29"/>
      <c r="N70" s="29"/>
      <c r="O70" s="29"/>
      <c r="P70" s="29"/>
      <c r="Q70" s="29"/>
      <c r="R70" s="29"/>
      <c r="S70" s="29"/>
      <c r="T70" s="29"/>
      <c r="U70" s="29"/>
      <c r="V70" s="29"/>
      <c r="W70" s="29"/>
      <c r="X70" s="29"/>
      <c r="Y70" s="29"/>
      <c r="Z70" s="29"/>
    </row>
    <row r="71" ht="18.75" customHeight="1">
      <c r="A71" s="37"/>
      <c r="B71" s="38"/>
      <c r="C71" s="29"/>
      <c r="D71" s="39"/>
      <c r="E71" s="29"/>
      <c r="F71" s="40"/>
      <c r="G71" s="40"/>
      <c r="H71" s="40"/>
      <c r="I71" s="29"/>
      <c r="J71" s="29"/>
      <c r="K71" s="29"/>
      <c r="L71" s="29"/>
      <c r="M71" s="29"/>
      <c r="N71" s="29"/>
      <c r="O71" s="29"/>
      <c r="P71" s="29"/>
      <c r="Q71" s="29"/>
      <c r="R71" s="29"/>
      <c r="S71" s="29"/>
      <c r="T71" s="29"/>
      <c r="U71" s="29"/>
      <c r="V71" s="29"/>
      <c r="W71" s="29"/>
      <c r="X71" s="29"/>
      <c r="Y71" s="29"/>
      <c r="Z71" s="29"/>
    </row>
    <row r="72" ht="18.75" customHeight="1">
      <c r="A72" s="37"/>
      <c r="B72" s="38"/>
      <c r="C72" s="29"/>
      <c r="D72" s="39"/>
      <c r="E72" s="29"/>
      <c r="F72" s="40"/>
      <c r="G72" s="40"/>
      <c r="H72" s="40"/>
      <c r="I72" s="29"/>
      <c r="J72" s="29"/>
      <c r="K72" s="29"/>
      <c r="L72" s="29"/>
      <c r="M72" s="29"/>
      <c r="N72" s="29"/>
      <c r="O72" s="29"/>
      <c r="P72" s="29"/>
      <c r="Q72" s="29"/>
      <c r="R72" s="29"/>
      <c r="S72" s="29"/>
      <c r="T72" s="29"/>
      <c r="U72" s="29"/>
      <c r="V72" s="29"/>
      <c r="W72" s="29"/>
      <c r="X72" s="29"/>
      <c r="Y72" s="29"/>
      <c r="Z72" s="29"/>
    </row>
    <row r="73" ht="18.75" customHeight="1">
      <c r="A73" s="37"/>
      <c r="B73" s="38"/>
      <c r="C73" s="29"/>
      <c r="D73" s="39"/>
      <c r="E73" s="29"/>
      <c r="F73" s="40"/>
      <c r="G73" s="40"/>
      <c r="H73" s="40"/>
      <c r="I73" s="29"/>
      <c r="J73" s="29"/>
      <c r="K73" s="29"/>
      <c r="L73" s="29"/>
      <c r="M73" s="29"/>
      <c r="N73" s="29"/>
      <c r="O73" s="29"/>
      <c r="P73" s="29"/>
      <c r="Q73" s="29"/>
      <c r="R73" s="29"/>
      <c r="S73" s="29"/>
      <c r="T73" s="29"/>
      <c r="U73" s="29"/>
      <c r="V73" s="29"/>
      <c r="W73" s="29"/>
      <c r="X73" s="29"/>
      <c r="Y73" s="29"/>
      <c r="Z73" s="29"/>
    </row>
    <row r="74" ht="18.75" customHeight="1">
      <c r="A74" s="37"/>
      <c r="B74" s="38"/>
      <c r="C74" s="29"/>
      <c r="D74" s="39"/>
      <c r="E74" s="29"/>
      <c r="F74" s="40"/>
      <c r="G74" s="40"/>
      <c r="H74" s="40"/>
      <c r="I74" s="29"/>
      <c r="J74" s="29"/>
      <c r="K74" s="29"/>
      <c r="L74" s="29"/>
      <c r="M74" s="29"/>
      <c r="N74" s="29"/>
      <c r="O74" s="29"/>
      <c r="P74" s="29"/>
      <c r="Q74" s="29"/>
      <c r="R74" s="29"/>
      <c r="S74" s="29"/>
      <c r="T74" s="29"/>
      <c r="U74" s="29"/>
      <c r="V74" s="29"/>
      <c r="W74" s="29"/>
      <c r="X74" s="29"/>
      <c r="Y74" s="29"/>
      <c r="Z74" s="29"/>
    </row>
    <row r="75" ht="18.75" customHeight="1">
      <c r="A75" s="37"/>
      <c r="B75" s="38"/>
      <c r="C75" s="29"/>
      <c r="D75" s="39"/>
      <c r="E75" s="29"/>
      <c r="F75" s="40"/>
      <c r="G75" s="40"/>
      <c r="H75" s="40"/>
      <c r="I75" s="29"/>
      <c r="J75" s="29"/>
      <c r="K75" s="29"/>
      <c r="L75" s="29"/>
      <c r="M75" s="29"/>
      <c r="N75" s="29"/>
      <c r="O75" s="29"/>
      <c r="P75" s="29"/>
      <c r="Q75" s="29"/>
      <c r="R75" s="29"/>
      <c r="S75" s="29"/>
      <c r="T75" s="29"/>
      <c r="U75" s="29"/>
      <c r="V75" s="29"/>
      <c r="W75" s="29"/>
      <c r="X75" s="29"/>
      <c r="Y75" s="29"/>
      <c r="Z75" s="29"/>
    </row>
    <row r="76" ht="18.75" customHeight="1">
      <c r="A76" s="37"/>
      <c r="B76" s="38"/>
      <c r="C76" s="29"/>
      <c r="D76" s="39"/>
      <c r="E76" s="29"/>
      <c r="F76" s="40"/>
      <c r="G76" s="40"/>
      <c r="H76" s="40"/>
      <c r="I76" s="29"/>
      <c r="J76" s="29"/>
      <c r="K76" s="29"/>
      <c r="L76" s="29"/>
      <c r="M76" s="29"/>
      <c r="N76" s="29"/>
      <c r="O76" s="29"/>
      <c r="P76" s="29"/>
      <c r="Q76" s="29"/>
      <c r="R76" s="29"/>
      <c r="S76" s="29"/>
      <c r="T76" s="29"/>
      <c r="U76" s="29"/>
      <c r="V76" s="29"/>
      <c r="W76" s="29"/>
      <c r="X76" s="29"/>
      <c r="Y76" s="29"/>
      <c r="Z76" s="29"/>
    </row>
    <row r="77" ht="18.75" customHeight="1">
      <c r="A77" s="37"/>
      <c r="B77" s="38"/>
      <c r="C77" s="29"/>
      <c r="D77" s="39"/>
      <c r="E77" s="29"/>
      <c r="F77" s="40"/>
      <c r="G77" s="40"/>
      <c r="H77" s="40"/>
      <c r="I77" s="29"/>
      <c r="J77" s="29"/>
      <c r="K77" s="29"/>
      <c r="L77" s="29"/>
      <c r="M77" s="29"/>
      <c r="N77" s="29"/>
      <c r="O77" s="29"/>
      <c r="P77" s="29"/>
      <c r="Q77" s="29"/>
      <c r="R77" s="29"/>
      <c r="S77" s="29"/>
      <c r="T77" s="29"/>
      <c r="U77" s="29"/>
      <c r="V77" s="29"/>
      <c r="W77" s="29"/>
      <c r="X77" s="29"/>
      <c r="Y77" s="29"/>
      <c r="Z77" s="29"/>
    </row>
    <row r="78" ht="18.75" customHeight="1">
      <c r="A78" s="37"/>
      <c r="B78" s="38"/>
      <c r="C78" s="29"/>
      <c r="D78" s="39"/>
      <c r="E78" s="29"/>
      <c r="F78" s="40"/>
      <c r="G78" s="40"/>
      <c r="H78" s="40"/>
      <c r="I78" s="29"/>
      <c r="J78" s="29"/>
      <c r="K78" s="29"/>
      <c r="L78" s="29"/>
      <c r="M78" s="29"/>
      <c r="N78" s="29"/>
      <c r="O78" s="29"/>
      <c r="P78" s="29"/>
      <c r="Q78" s="29"/>
      <c r="R78" s="29"/>
      <c r="S78" s="29"/>
      <c r="T78" s="29"/>
      <c r="U78" s="29"/>
      <c r="V78" s="29"/>
      <c r="W78" s="29"/>
      <c r="X78" s="29"/>
      <c r="Y78" s="29"/>
      <c r="Z78" s="29"/>
    </row>
    <row r="79" ht="18.75" customHeight="1">
      <c r="A79" s="37"/>
      <c r="B79" s="38"/>
      <c r="C79" s="29"/>
      <c r="D79" s="39"/>
      <c r="E79" s="29"/>
      <c r="F79" s="40"/>
      <c r="G79" s="40"/>
      <c r="H79" s="40"/>
      <c r="I79" s="29"/>
      <c r="J79" s="29"/>
      <c r="K79" s="29"/>
      <c r="L79" s="29"/>
      <c r="M79" s="29"/>
      <c r="N79" s="29"/>
      <c r="O79" s="29"/>
      <c r="P79" s="29"/>
      <c r="Q79" s="29"/>
      <c r="R79" s="29"/>
      <c r="S79" s="29"/>
      <c r="T79" s="29"/>
      <c r="U79" s="29"/>
      <c r="V79" s="29"/>
      <c r="W79" s="29"/>
      <c r="X79" s="29"/>
      <c r="Y79" s="29"/>
      <c r="Z79" s="29"/>
    </row>
    <row r="80" ht="18.75" customHeight="1">
      <c r="A80" s="37"/>
      <c r="B80" s="38"/>
      <c r="C80" s="29"/>
      <c r="D80" s="39"/>
      <c r="E80" s="29"/>
      <c r="F80" s="40"/>
      <c r="G80" s="40"/>
      <c r="H80" s="40"/>
      <c r="I80" s="29"/>
      <c r="J80" s="29"/>
      <c r="K80" s="29"/>
      <c r="L80" s="29"/>
      <c r="M80" s="29"/>
      <c r="N80" s="29"/>
      <c r="O80" s="29"/>
      <c r="P80" s="29"/>
      <c r="Q80" s="29"/>
      <c r="R80" s="29"/>
      <c r="S80" s="29"/>
      <c r="T80" s="29"/>
      <c r="U80" s="29"/>
      <c r="V80" s="29"/>
      <c r="W80" s="29"/>
      <c r="X80" s="29"/>
      <c r="Y80" s="29"/>
      <c r="Z80" s="29"/>
    </row>
    <row r="81" ht="18.75" customHeight="1">
      <c r="A81" s="37"/>
      <c r="B81" s="38"/>
      <c r="C81" s="29"/>
      <c r="D81" s="39"/>
      <c r="E81" s="29"/>
      <c r="F81" s="40"/>
      <c r="G81" s="40"/>
      <c r="H81" s="40"/>
      <c r="I81" s="29"/>
      <c r="J81" s="29"/>
      <c r="K81" s="29"/>
      <c r="L81" s="29"/>
      <c r="M81" s="29"/>
      <c r="N81" s="29"/>
      <c r="O81" s="29"/>
      <c r="P81" s="29"/>
      <c r="Q81" s="29"/>
      <c r="R81" s="29"/>
      <c r="S81" s="29"/>
      <c r="T81" s="29"/>
      <c r="U81" s="29"/>
      <c r="V81" s="29"/>
      <c r="W81" s="29"/>
      <c r="X81" s="29"/>
      <c r="Y81" s="29"/>
      <c r="Z81" s="29"/>
    </row>
    <row r="82" ht="18.75" customHeight="1">
      <c r="A82" s="37"/>
      <c r="B82" s="38"/>
      <c r="C82" s="29"/>
      <c r="D82" s="39"/>
      <c r="E82" s="29"/>
      <c r="F82" s="40"/>
      <c r="G82" s="40"/>
      <c r="H82" s="40"/>
      <c r="I82" s="29"/>
      <c r="J82" s="29"/>
      <c r="K82" s="29"/>
      <c r="L82" s="29"/>
      <c r="M82" s="29"/>
      <c r="N82" s="29"/>
      <c r="O82" s="29"/>
      <c r="P82" s="29"/>
      <c r="Q82" s="29"/>
      <c r="R82" s="29"/>
      <c r="S82" s="29"/>
      <c r="T82" s="29"/>
      <c r="U82" s="29"/>
      <c r="V82" s="29"/>
      <c r="W82" s="29"/>
      <c r="X82" s="29"/>
      <c r="Y82" s="29"/>
      <c r="Z82" s="29"/>
    </row>
    <row r="83" ht="18.75" customHeight="1">
      <c r="A83" s="37"/>
      <c r="B83" s="38"/>
      <c r="C83" s="29"/>
      <c r="D83" s="39"/>
      <c r="E83" s="29"/>
      <c r="F83" s="40"/>
      <c r="G83" s="40"/>
      <c r="H83" s="40"/>
      <c r="I83" s="29"/>
      <c r="J83" s="29"/>
      <c r="K83" s="29"/>
      <c r="L83" s="29"/>
      <c r="M83" s="29"/>
      <c r="N83" s="29"/>
      <c r="O83" s="29"/>
      <c r="P83" s="29"/>
      <c r="Q83" s="29"/>
      <c r="R83" s="29"/>
      <c r="S83" s="29"/>
      <c r="T83" s="29"/>
      <c r="U83" s="29"/>
      <c r="V83" s="29"/>
      <c r="W83" s="29"/>
      <c r="X83" s="29"/>
      <c r="Y83" s="29"/>
      <c r="Z83" s="29"/>
    </row>
    <row r="84" ht="18.75" customHeight="1">
      <c r="A84" s="37"/>
      <c r="B84" s="38"/>
      <c r="C84" s="29"/>
      <c r="D84" s="39"/>
      <c r="E84" s="29"/>
      <c r="F84" s="40"/>
      <c r="G84" s="40"/>
      <c r="H84" s="40"/>
      <c r="I84" s="29"/>
      <c r="J84" s="29"/>
      <c r="K84" s="29"/>
      <c r="L84" s="29"/>
      <c r="M84" s="29"/>
      <c r="N84" s="29"/>
      <c r="O84" s="29"/>
      <c r="P84" s="29"/>
      <c r="Q84" s="29"/>
      <c r="R84" s="29"/>
      <c r="S84" s="29"/>
      <c r="T84" s="29"/>
      <c r="U84" s="29"/>
      <c r="V84" s="29"/>
      <c r="W84" s="29"/>
      <c r="X84" s="29"/>
      <c r="Y84" s="29"/>
      <c r="Z84" s="29"/>
    </row>
    <row r="85" ht="18.75" customHeight="1">
      <c r="A85" s="37"/>
      <c r="B85" s="38"/>
      <c r="C85" s="29"/>
      <c r="D85" s="39"/>
      <c r="E85" s="29"/>
      <c r="F85" s="40"/>
      <c r="G85" s="40"/>
      <c r="H85" s="40"/>
      <c r="I85" s="29"/>
      <c r="J85" s="29"/>
      <c r="K85" s="29"/>
      <c r="L85" s="29"/>
      <c r="M85" s="29"/>
      <c r="N85" s="29"/>
      <c r="O85" s="29"/>
      <c r="P85" s="29"/>
      <c r="Q85" s="29"/>
      <c r="R85" s="29"/>
      <c r="S85" s="29"/>
      <c r="T85" s="29"/>
      <c r="U85" s="29"/>
      <c r="V85" s="29"/>
      <c r="W85" s="29"/>
      <c r="X85" s="29"/>
      <c r="Y85" s="29"/>
      <c r="Z85" s="29"/>
    </row>
    <row r="86" ht="18.75" customHeight="1">
      <c r="A86" s="37"/>
      <c r="B86" s="38"/>
      <c r="C86" s="29"/>
      <c r="D86" s="39"/>
      <c r="E86" s="29"/>
      <c r="F86" s="40"/>
      <c r="G86" s="40"/>
      <c r="H86" s="40"/>
      <c r="I86" s="29"/>
      <c r="J86" s="29"/>
      <c r="K86" s="29"/>
      <c r="L86" s="29"/>
      <c r="M86" s="29"/>
      <c r="N86" s="29"/>
      <c r="O86" s="29"/>
      <c r="P86" s="29"/>
      <c r="Q86" s="29"/>
      <c r="R86" s="29"/>
      <c r="S86" s="29"/>
      <c r="T86" s="29"/>
      <c r="U86" s="29"/>
      <c r="V86" s="29"/>
      <c r="W86" s="29"/>
      <c r="X86" s="29"/>
      <c r="Y86" s="29"/>
      <c r="Z86" s="29"/>
    </row>
    <row r="87" ht="18.75" customHeight="1">
      <c r="A87" s="37"/>
      <c r="B87" s="38"/>
      <c r="C87" s="29"/>
      <c r="D87" s="39"/>
      <c r="E87" s="29"/>
      <c r="F87" s="40"/>
      <c r="G87" s="40"/>
      <c r="H87" s="40"/>
      <c r="I87" s="29"/>
      <c r="J87" s="29"/>
      <c r="K87" s="29"/>
      <c r="L87" s="29"/>
      <c r="M87" s="29"/>
      <c r="N87" s="29"/>
      <c r="O87" s="29"/>
      <c r="P87" s="29"/>
      <c r="Q87" s="29"/>
      <c r="R87" s="29"/>
      <c r="S87" s="29"/>
      <c r="T87" s="29"/>
      <c r="U87" s="29"/>
      <c r="V87" s="29"/>
      <c r="W87" s="29"/>
      <c r="X87" s="29"/>
      <c r="Y87" s="29"/>
      <c r="Z87" s="29"/>
    </row>
    <row r="88" ht="18.75" customHeight="1">
      <c r="A88" s="37"/>
      <c r="B88" s="38"/>
      <c r="C88" s="29"/>
      <c r="D88" s="39"/>
      <c r="E88" s="29"/>
      <c r="F88" s="40"/>
      <c r="G88" s="40"/>
      <c r="H88" s="40"/>
      <c r="I88" s="29"/>
      <c r="J88" s="29"/>
      <c r="K88" s="29"/>
      <c r="L88" s="29"/>
      <c r="M88" s="29"/>
      <c r="N88" s="29"/>
      <c r="O88" s="29"/>
      <c r="P88" s="29"/>
      <c r="Q88" s="29"/>
      <c r="R88" s="29"/>
      <c r="S88" s="29"/>
      <c r="T88" s="29"/>
      <c r="U88" s="29"/>
      <c r="V88" s="29"/>
      <c r="W88" s="29"/>
      <c r="X88" s="29"/>
      <c r="Y88" s="29"/>
      <c r="Z88" s="29"/>
    </row>
    <row r="89" ht="18.75" customHeight="1">
      <c r="A89" s="37"/>
      <c r="B89" s="38"/>
      <c r="C89" s="29"/>
      <c r="D89" s="39"/>
      <c r="E89" s="29"/>
      <c r="F89" s="40"/>
      <c r="G89" s="40"/>
      <c r="H89" s="40"/>
      <c r="I89" s="29"/>
      <c r="J89" s="29"/>
      <c r="K89" s="29"/>
      <c r="L89" s="29"/>
      <c r="M89" s="29"/>
      <c r="N89" s="29"/>
      <c r="O89" s="29"/>
      <c r="P89" s="29"/>
      <c r="Q89" s="29"/>
      <c r="R89" s="29"/>
      <c r="S89" s="29"/>
      <c r="T89" s="29"/>
      <c r="U89" s="29"/>
      <c r="V89" s="29"/>
      <c r="W89" s="29"/>
      <c r="X89" s="29"/>
      <c r="Y89" s="29"/>
      <c r="Z89" s="29"/>
    </row>
    <row r="90" ht="18.75" customHeight="1">
      <c r="A90" s="37"/>
      <c r="B90" s="38"/>
      <c r="C90" s="29"/>
      <c r="D90" s="39"/>
      <c r="E90" s="29"/>
      <c r="F90" s="40"/>
      <c r="G90" s="40"/>
      <c r="H90" s="40"/>
      <c r="I90" s="29"/>
      <c r="J90" s="29"/>
      <c r="K90" s="29"/>
      <c r="L90" s="29"/>
      <c r="M90" s="29"/>
      <c r="N90" s="29"/>
      <c r="O90" s="29"/>
      <c r="P90" s="29"/>
      <c r="Q90" s="29"/>
      <c r="R90" s="29"/>
      <c r="S90" s="29"/>
      <c r="T90" s="29"/>
      <c r="U90" s="29"/>
      <c r="V90" s="29"/>
      <c r="W90" s="29"/>
      <c r="X90" s="29"/>
      <c r="Y90" s="29"/>
      <c r="Z90" s="29"/>
    </row>
    <row r="91" ht="18.75" customHeight="1">
      <c r="A91" s="37"/>
      <c r="B91" s="38"/>
      <c r="C91" s="29"/>
      <c r="D91" s="39"/>
      <c r="E91" s="29"/>
      <c r="F91" s="40"/>
      <c r="G91" s="40"/>
      <c r="H91" s="40"/>
      <c r="I91" s="29"/>
      <c r="J91" s="29"/>
      <c r="K91" s="29"/>
      <c r="L91" s="29"/>
      <c r="M91" s="29"/>
      <c r="N91" s="29"/>
      <c r="O91" s="29"/>
      <c r="P91" s="29"/>
      <c r="Q91" s="29"/>
      <c r="R91" s="29"/>
      <c r="S91" s="29"/>
      <c r="T91" s="29"/>
      <c r="U91" s="29"/>
      <c r="V91" s="29"/>
      <c r="W91" s="29"/>
      <c r="X91" s="29"/>
      <c r="Y91" s="29"/>
      <c r="Z91" s="29"/>
    </row>
    <row r="92" ht="18.75" customHeight="1">
      <c r="A92" s="37"/>
      <c r="B92" s="38"/>
      <c r="C92" s="29"/>
      <c r="D92" s="39"/>
      <c r="E92" s="29"/>
      <c r="F92" s="40"/>
      <c r="G92" s="40"/>
      <c r="H92" s="40"/>
      <c r="I92" s="29"/>
      <c r="J92" s="29"/>
      <c r="K92" s="29"/>
      <c r="L92" s="29"/>
      <c r="M92" s="29"/>
      <c r="N92" s="29"/>
      <c r="O92" s="29"/>
      <c r="P92" s="29"/>
      <c r="Q92" s="29"/>
      <c r="R92" s="29"/>
      <c r="S92" s="29"/>
      <c r="T92" s="29"/>
      <c r="U92" s="29"/>
      <c r="V92" s="29"/>
      <c r="W92" s="29"/>
      <c r="X92" s="29"/>
      <c r="Y92" s="29"/>
      <c r="Z92" s="29"/>
    </row>
    <row r="93" ht="18.75" customHeight="1">
      <c r="A93" s="37"/>
      <c r="B93" s="38"/>
      <c r="C93" s="29"/>
      <c r="D93" s="39"/>
      <c r="E93" s="29"/>
      <c r="F93" s="40"/>
      <c r="G93" s="40"/>
      <c r="H93" s="40"/>
      <c r="I93" s="29"/>
      <c r="J93" s="29"/>
      <c r="K93" s="29"/>
      <c r="L93" s="29"/>
      <c r="M93" s="29"/>
      <c r="N93" s="29"/>
      <c r="O93" s="29"/>
      <c r="P93" s="29"/>
      <c r="Q93" s="29"/>
      <c r="R93" s="29"/>
      <c r="S93" s="29"/>
      <c r="T93" s="29"/>
      <c r="U93" s="29"/>
      <c r="V93" s="29"/>
      <c r="W93" s="29"/>
      <c r="X93" s="29"/>
      <c r="Y93" s="29"/>
      <c r="Z93" s="29"/>
    </row>
    <row r="94" ht="18.75" customHeight="1">
      <c r="A94" s="37"/>
      <c r="B94" s="38"/>
      <c r="C94" s="29"/>
      <c r="D94" s="39"/>
      <c r="E94" s="29"/>
      <c r="F94" s="40"/>
      <c r="G94" s="40"/>
      <c r="H94" s="40"/>
      <c r="I94" s="29"/>
      <c r="J94" s="29"/>
      <c r="K94" s="29"/>
      <c r="L94" s="29"/>
      <c r="M94" s="29"/>
      <c r="N94" s="29"/>
      <c r="O94" s="29"/>
      <c r="P94" s="29"/>
      <c r="Q94" s="29"/>
      <c r="R94" s="29"/>
      <c r="S94" s="29"/>
      <c r="T94" s="29"/>
      <c r="U94" s="29"/>
      <c r="V94" s="29"/>
      <c r="W94" s="29"/>
      <c r="X94" s="29"/>
      <c r="Y94" s="29"/>
      <c r="Z94" s="29"/>
    </row>
    <row r="95" ht="18.75" customHeight="1">
      <c r="A95" s="37"/>
      <c r="B95" s="38"/>
      <c r="C95" s="29"/>
      <c r="D95" s="39"/>
      <c r="E95" s="29"/>
      <c r="F95" s="40"/>
      <c r="G95" s="40"/>
      <c r="H95" s="40"/>
      <c r="I95" s="29"/>
      <c r="J95" s="29"/>
      <c r="K95" s="29"/>
      <c r="L95" s="29"/>
      <c r="M95" s="29"/>
      <c r="N95" s="29"/>
      <c r="O95" s="29"/>
      <c r="P95" s="29"/>
      <c r="Q95" s="29"/>
      <c r="R95" s="29"/>
      <c r="S95" s="29"/>
      <c r="T95" s="29"/>
      <c r="U95" s="29"/>
      <c r="V95" s="29"/>
      <c r="W95" s="29"/>
      <c r="X95" s="29"/>
      <c r="Y95" s="29"/>
      <c r="Z95" s="29"/>
    </row>
    <row r="96" ht="18.75" customHeight="1">
      <c r="A96" s="37"/>
      <c r="B96" s="38"/>
      <c r="C96" s="29"/>
      <c r="D96" s="39"/>
      <c r="E96" s="29"/>
      <c r="F96" s="40"/>
      <c r="G96" s="40"/>
      <c r="H96" s="40"/>
      <c r="I96" s="29"/>
      <c r="J96" s="29"/>
      <c r="K96" s="29"/>
      <c r="L96" s="29"/>
      <c r="M96" s="29"/>
      <c r="N96" s="29"/>
      <c r="O96" s="29"/>
      <c r="P96" s="29"/>
      <c r="Q96" s="29"/>
      <c r="R96" s="29"/>
      <c r="S96" s="29"/>
      <c r="T96" s="29"/>
      <c r="U96" s="29"/>
      <c r="V96" s="29"/>
      <c r="W96" s="29"/>
      <c r="X96" s="29"/>
      <c r="Y96" s="29"/>
      <c r="Z96" s="29"/>
    </row>
    <row r="97" ht="18.75" customHeight="1">
      <c r="A97" s="37"/>
      <c r="B97" s="38"/>
      <c r="C97" s="29"/>
      <c r="D97" s="39"/>
      <c r="E97" s="29"/>
      <c r="F97" s="40"/>
      <c r="G97" s="40"/>
      <c r="H97" s="40"/>
      <c r="I97" s="29"/>
      <c r="J97" s="29"/>
      <c r="K97" s="29"/>
      <c r="L97" s="29"/>
      <c r="M97" s="29"/>
      <c r="N97" s="29"/>
      <c r="O97" s="29"/>
      <c r="P97" s="29"/>
      <c r="Q97" s="29"/>
      <c r="R97" s="29"/>
      <c r="S97" s="29"/>
      <c r="T97" s="29"/>
      <c r="U97" s="29"/>
      <c r="V97" s="29"/>
      <c r="W97" s="29"/>
      <c r="X97" s="29"/>
      <c r="Y97" s="29"/>
      <c r="Z97" s="29"/>
    </row>
    <row r="98" ht="18.75" customHeight="1">
      <c r="A98" s="37"/>
      <c r="B98" s="38"/>
      <c r="C98" s="29"/>
      <c r="D98" s="39"/>
      <c r="E98" s="29"/>
      <c r="F98" s="40"/>
      <c r="G98" s="40"/>
      <c r="H98" s="40"/>
      <c r="I98" s="29"/>
      <c r="J98" s="29"/>
      <c r="K98" s="29"/>
      <c r="L98" s="29"/>
      <c r="M98" s="29"/>
      <c r="N98" s="29"/>
      <c r="O98" s="29"/>
      <c r="P98" s="29"/>
      <c r="Q98" s="29"/>
      <c r="R98" s="29"/>
      <c r="S98" s="29"/>
      <c r="T98" s="29"/>
      <c r="U98" s="29"/>
      <c r="V98" s="29"/>
      <c r="W98" s="29"/>
      <c r="X98" s="29"/>
      <c r="Y98" s="29"/>
      <c r="Z98" s="29"/>
    </row>
    <row r="99" ht="18.75" customHeight="1">
      <c r="A99" s="37"/>
      <c r="B99" s="38"/>
      <c r="C99" s="29"/>
      <c r="D99" s="39"/>
      <c r="E99" s="29"/>
      <c r="F99" s="40"/>
      <c r="G99" s="40"/>
      <c r="H99" s="40"/>
      <c r="I99" s="29"/>
      <c r="J99" s="29"/>
      <c r="K99" s="29"/>
      <c r="L99" s="29"/>
      <c r="M99" s="29"/>
      <c r="N99" s="29"/>
      <c r="O99" s="29"/>
      <c r="P99" s="29"/>
      <c r="Q99" s="29"/>
      <c r="R99" s="29"/>
      <c r="S99" s="29"/>
      <c r="T99" s="29"/>
      <c r="U99" s="29"/>
      <c r="V99" s="29"/>
      <c r="W99" s="29"/>
      <c r="X99" s="29"/>
      <c r="Y99" s="29"/>
      <c r="Z99" s="29"/>
    </row>
    <row r="100" ht="18.75" customHeight="1">
      <c r="A100" s="37"/>
      <c r="B100" s="38"/>
      <c r="C100" s="29"/>
      <c r="D100" s="39"/>
      <c r="E100" s="29"/>
      <c r="F100" s="40"/>
      <c r="G100" s="40"/>
      <c r="H100" s="40"/>
      <c r="I100" s="29"/>
      <c r="J100" s="29"/>
      <c r="K100" s="29"/>
      <c r="L100" s="29"/>
      <c r="M100" s="29"/>
      <c r="N100" s="29"/>
      <c r="O100" s="29"/>
      <c r="P100" s="29"/>
      <c r="Q100" s="29"/>
      <c r="R100" s="29"/>
      <c r="S100" s="29"/>
      <c r="T100" s="29"/>
      <c r="U100" s="29"/>
      <c r="V100" s="29"/>
      <c r="W100" s="29"/>
      <c r="X100" s="29"/>
      <c r="Y100" s="29"/>
      <c r="Z100" s="29"/>
    </row>
    <row r="101" ht="18.75" customHeight="1">
      <c r="A101" s="37"/>
      <c r="B101" s="38"/>
      <c r="C101" s="29"/>
      <c r="D101" s="39"/>
      <c r="E101" s="29"/>
      <c r="F101" s="40"/>
      <c r="G101" s="40"/>
      <c r="H101" s="40"/>
      <c r="I101" s="29"/>
      <c r="J101" s="29"/>
      <c r="K101" s="29"/>
      <c r="L101" s="29"/>
      <c r="M101" s="29"/>
      <c r="N101" s="29"/>
      <c r="O101" s="29"/>
      <c r="P101" s="29"/>
      <c r="Q101" s="29"/>
      <c r="R101" s="29"/>
      <c r="S101" s="29"/>
      <c r="T101" s="29"/>
      <c r="U101" s="29"/>
      <c r="V101" s="29"/>
      <c r="W101" s="29"/>
      <c r="X101" s="29"/>
      <c r="Y101" s="29"/>
      <c r="Z101" s="29"/>
    </row>
    <row r="102" ht="18.75" customHeight="1">
      <c r="A102" s="37"/>
      <c r="B102" s="38"/>
      <c r="C102" s="29"/>
      <c r="D102" s="39"/>
      <c r="E102" s="29"/>
      <c r="F102" s="40"/>
      <c r="G102" s="40"/>
      <c r="H102" s="40"/>
      <c r="I102" s="29"/>
      <c r="J102" s="29"/>
      <c r="K102" s="29"/>
      <c r="L102" s="29"/>
      <c r="M102" s="29"/>
      <c r="N102" s="29"/>
      <c r="O102" s="29"/>
      <c r="P102" s="29"/>
      <c r="Q102" s="29"/>
      <c r="R102" s="29"/>
      <c r="S102" s="29"/>
      <c r="T102" s="29"/>
      <c r="U102" s="29"/>
      <c r="V102" s="29"/>
      <c r="W102" s="29"/>
      <c r="X102" s="29"/>
      <c r="Y102" s="29"/>
      <c r="Z102" s="29"/>
    </row>
    <row r="103" ht="18.75" customHeight="1">
      <c r="A103" s="37"/>
      <c r="B103" s="38"/>
      <c r="C103" s="29"/>
      <c r="D103" s="39"/>
      <c r="E103" s="29"/>
      <c r="F103" s="40"/>
      <c r="G103" s="40"/>
      <c r="H103" s="40"/>
      <c r="I103" s="29"/>
      <c r="J103" s="29"/>
      <c r="K103" s="29"/>
      <c r="L103" s="29"/>
      <c r="M103" s="29"/>
      <c r="N103" s="29"/>
      <c r="O103" s="29"/>
      <c r="P103" s="29"/>
      <c r="Q103" s="29"/>
      <c r="R103" s="29"/>
      <c r="S103" s="29"/>
      <c r="T103" s="29"/>
      <c r="U103" s="29"/>
      <c r="V103" s="29"/>
      <c r="W103" s="29"/>
      <c r="X103" s="29"/>
      <c r="Y103" s="29"/>
      <c r="Z103" s="29"/>
    </row>
    <row r="104" ht="18.75" customHeight="1">
      <c r="A104" s="37"/>
      <c r="B104" s="38"/>
      <c r="C104" s="29"/>
      <c r="D104" s="39"/>
      <c r="E104" s="29"/>
      <c r="F104" s="40"/>
      <c r="G104" s="40"/>
      <c r="H104" s="40"/>
      <c r="I104" s="29"/>
      <c r="J104" s="29"/>
      <c r="K104" s="29"/>
      <c r="L104" s="29"/>
      <c r="M104" s="29"/>
      <c r="N104" s="29"/>
      <c r="O104" s="29"/>
      <c r="P104" s="29"/>
      <c r="Q104" s="29"/>
      <c r="R104" s="29"/>
      <c r="S104" s="29"/>
      <c r="T104" s="29"/>
      <c r="U104" s="29"/>
      <c r="V104" s="29"/>
      <c r="W104" s="29"/>
      <c r="X104" s="29"/>
      <c r="Y104" s="29"/>
      <c r="Z104" s="29"/>
    </row>
    <row r="105" ht="18.75" customHeight="1">
      <c r="A105" s="37"/>
      <c r="B105" s="38"/>
      <c r="C105" s="29"/>
      <c r="D105" s="39"/>
      <c r="E105" s="29"/>
      <c r="F105" s="40"/>
      <c r="G105" s="40"/>
      <c r="H105" s="40"/>
      <c r="I105" s="29"/>
      <c r="J105" s="29"/>
      <c r="K105" s="29"/>
      <c r="L105" s="29"/>
      <c r="M105" s="29"/>
      <c r="N105" s="29"/>
      <c r="O105" s="29"/>
      <c r="P105" s="29"/>
      <c r="Q105" s="29"/>
      <c r="R105" s="29"/>
      <c r="S105" s="29"/>
      <c r="T105" s="29"/>
      <c r="U105" s="29"/>
      <c r="V105" s="29"/>
      <c r="W105" s="29"/>
      <c r="X105" s="29"/>
      <c r="Y105" s="29"/>
      <c r="Z105" s="29"/>
    </row>
    <row r="106" ht="18.75" customHeight="1">
      <c r="A106" s="37"/>
      <c r="B106" s="38"/>
      <c r="C106" s="29"/>
      <c r="D106" s="39"/>
      <c r="E106" s="29"/>
      <c r="F106" s="40"/>
      <c r="G106" s="40"/>
      <c r="H106" s="40"/>
      <c r="I106" s="29"/>
      <c r="J106" s="29"/>
      <c r="K106" s="29"/>
      <c r="L106" s="29"/>
      <c r="M106" s="29"/>
      <c r="N106" s="29"/>
      <c r="O106" s="29"/>
      <c r="P106" s="29"/>
      <c r="Q106" s="29"/>
      <c r="R106" s="29"/>
      <c r="S106" s="29"/>
      <c r="T106" s="29"/>
      <c r="U106" s="29"/>
      <c r="V106" s="29"/>
      <c r="W106" s="29"/>
      <c r="X106" s="29"/>
      <c r="Y106" s="29"/>
      <c r="Z106" s="29"/>
    </row>
    <row r="107" ht="18.75" customHeight="1">
      <c r="A107" s="37"/>
      <c r="B107" s="38"/>
      <c r="C107" s="29"/>
      <c r="D107" s="39"/>
      <c r="E107" s="29"/>
      <c r="F107" s="40"/>
      <c r="G107" s="40"/>
      <c r="H107" s="40"/>
      <c r="I107" s="29"/>
      <c r="J107" s="29"/>
      <c r="K107" s="29"/>
      <c r="L107" s="29"/>
      <c r="M107" s="29"/>
      <c r="N107" s="29"/>
      <c r="O107" s="29"/>
      <c r="P107" s="29"/>
      <c r="Q107" s="29"/>
      <c r="R107" s="29"/>
      <c r="S107" s="29"/>
      <c r="T107" s="29"/>
      <c r="U107" s="29"/>
      <c r="V107" s="29"/>
      <c r="W107" s="29"/>
      <c r="X107" s="29"/>
      <c r="Y107" s="29"/>
      <c r="Z107" s="29"/>
    </row>
    <row r="108" ht="18.75" customHeight="1">
      <c r="A108" s="37"/>
      <c r="B108" s="38"/>
      <c r="C108" s="29"/>
      <c r="D108" s="39"/>
      <c r="E108" s="29"/>
      <c r="F108" s="40"/>
      <c r="G108" s="40"/>
      <c r="H108" s="40"/>
      <c r="I108" s="29"/>
      <c r="J108" s="29"/>
      <c r="K108" s="29"/>
      <c r="L108" s="29"/>
      <c r="M108" s="29"/>
      <c r="N108" s="29"/>
      <c r="O108" s="29"/>
      <c r="P108" s="29"/>
      <c r="Q108" s="29"/>
      <c r="R108" s="29"/>
      <c r="S108" s="29"/>
      <c r="T108" s="29"/>
      <c r="U108" s="29"/>
      <c r="V108" s="29"/>
      <c r="W108" s="29"/>
      <c r="X108" s="29"/>
      <c r="Y108" s="29"/>
      <c r="Z108" s="29"/>
    </row>
    <row r="109" ht="18.75" customHeight="1">
      <c r="A109" s="37"/>
      <c r="B109" s="38"/>
      <c r="C109" s="29"/>
      <c r="D109" s="39"/>
      <c r="E109" s="29"/>
      <c r="F109" s="40"/>
      <c r="G109" s="40"/>
      <c r="H109" s="40"/>
      <c r="I109" s="29"/>
      <c r="J109" s="29"/>
      <c r="K109" s="29"/>
      <c r="L109" s="29"/>
      <c r="M109" s="29"/>
      <c r="N109" s="29"/>
      <c r="O109" s="29"/>
      <c r="P109" s="29"/>
      <c r="Q109" s="29"/>
      <c r="R109" s="29"/>
      <c r="S109" s="29"/>
      <c r="T109" s="29"/>
      <c r="U109" s="29"/>
      <c r="V109" s="29"/>
      <c r="W109" s="29"/>
      <c r="X109" s="29"/>
      <c r="Y109" s="29"/>
      <c r="Z109" s="29"/>
    </row>
    <row r="110" ht="18.75" customHeight="1">
      <c r="A110" s="37"/>
      <c r="B110" s="38"/>
      <c r="C110" s="29"/>
      <c r="D110" s="39"/>
      <c r="E110" s="29"/>
      <c r="F110" s="40"/>
      <c r="G110" s="40"/>
      <c r="H110" s="40"/>
      <c r="I110" s="29"/>
      <c r="J110" s="29"/>
      <c r="K110" s="29"/>
      <c r="L110" s="29"/>
      <c r="M110" s="29"/>
      <c r="N110" s="29"/>
      <c r="O110" s="29"/>
      <c r="P110" s="29"/>
      <c r="Q110" s="29"/>
      <c r="R110" s="29"/>
      <c r="S110" s="29"/>
      <c r="T110" s="29"/>
      <c r="U110" s="29"/>
      <c r="V110" s="29"/>
      <c r="W110" s="29"/>
      <c r="X110" s="29"/>
      <c r="Y110" s="29"/>
      <c r="Z110" s="29"/>
    </row>
    <row r="111" ht="18.75" customHeight="1">
      <c r="A111" s="37"/>
      <c r="B111" s="38"/>
      <c r="C111" s="29"/>
      <c r="D111" s="39"/>
      <c r="E111" s="29"/>
      <c r="F111" s="40"/>
      <c r="G111" s="40"/>
      <c r="H111" s="40"/>
      <c r="I111" s="29"/>
      <c r="J111" s="29"/>
      <c r="K111" s="29"/>
      <c r="L111" s="29"/>
      <c r="M111" s="29"/>
      <c r="N111" s="29"/>
      <c r="O111" s="29"/>
      <c r="P111" s="29"/>
      <c r="Q111" s="29"/>
      <c r="R111" s="29"/>
      <c r="S111" s="29"/>
      <c r="T111" s="29"/>
      <c r="U111" s="29"/>
      <c r="V111" s="29"/>
      <c r="W111" s="29"/>
      <c r="X111" s="29"/>
      <c r="Y111" s="29"/>
      <c r="Z111" s="29"/>
    </row>
    <row r="112" ht="18.75" customHeight="1">
      <c r="A112" s="37"/>
      <c r="B112" s="38"/>
      <c r="C112" s="29"/>
      <c r="D112" s="39"/>
      <c r="E112" s="29"/>
      <c r="F112" s="40"/>
      <c r="G112" s="40"/>
      <c r="H112" s="40"/>
      <c r="I112" s="29"/>
      <c r="J112" s="29"/>
      <c r="K112" s="29"/>
      <c r="L112" s="29"/>
      <c r="M112" s="29"/>
      <c r="N112" s="29"/>
      <c r="O112" s="29"/>
      <c r="P112" s="29"/>
      <c r="Q112" s="29"/>
      <c r="R112" s="29"/>
      <c r="S112" s="29"/>
      <c r="T112" s="29"/>
      <c r="U112" s="29"/>
      <c r="V112" s="29"/>
      <c r="W112" s="29"/>
      <c r="X112" s="29"/>
      <c r="Y112" s="29"/>
      <c r="Z112" s="29"/>
    </row>
    <row r="113" ht="18.75" customHeight="1">
      <c r="A113" s="37"/>
      <c r="B113" s="38"/>
      <c r="C113" s="29"/>
      <c r="D113" s="39"/>
      <c r="E113" s="29"/>
      <c r="F113" s="40"/>
      <c r="G113" s="40"/>
      <c r="H113" s="40"/>
      <c r="I113" s="29"/>
      <c r="J113" s="29"/>
      <c r="K113" s="29"/>
      <c r="L113" s="29"/>
      <c r="M113" s="29"/>
      <c r="N113" s="29"/>
      <c r="O113" s="29"/>
      <c r="P113" s="29"/>
      <c r="Q113" s="29"/>
      <c r="R113" s="29"/>
      <c r="S113" s="29"/>
      <c r="T113" s="29"/>
      <c r="U113" s="29"/>
      <c r="V113" s="29"/>
      <c r="W113" s="29"/>
      <c r="X113" s="29"/>
      <c r="Y113" s="29"/>
      <c r="Z113" s="29"/>
    </row>
    <row r="114" ht="18.75" customHeight="1">
      <c r="A114" s="37"/>
      <c r="B114" s="38"/>
      <c r="C114" s="29"/>
      <c r="D114" s="39"/>
      <c r="E114" s="29"/>
      <c r="F114" s="40"/>
      <c r="G114" s="40"/>
      <c r="H114" s="40"/>
      <c r="I114" s="29"/>
      <c r="J114" s="29"/>
      <c r="K114" s="29"/>
      <c r="L114" s="29"/>
      <c r="M114" s="29"/>
      <c r="N114" s="29"/>
      <c r="O114" s="29"/>
      <c r="P114" s="29"/>
      <c r="Q114" s="29"/>
      <c r="R114" s="29"/>
      <c r="S114" s="29"/>
      <c r="T114" s="29"/>
      <c r="U114" s="29"/>
      <c r="V114" s="29"/>
      <c r="W114" s="29"/>
      <c r="X114" s="29"/>
      <c r="Y114" s="29"/>
      <c r="Z114" s="29"/>
    </row>
    <row r="115" ht="18.75" customHeight="1">
      <c r="A115" s="37"/>
      <c r="B115" s="38"/>
      <c r="C115" s="29"/>
      <c r="D115" s="39"/>
      <c r="E115" s="29"/>
      <c r="F115" s="40"/>
      <c r="G115" s="40"/>
      <c r="H115" s="40"/>
      <c r="I115" s="29"/>
      <c r="J115" s="29"/>
      <c r="K115" s="29"/>
      <c r="L115" s="29"/>
      <c r="M115" s="29"/>
      <c r="N115" s="29"/>
      <c r="O115" s="29"/>
      <c r="P115" s="29"/>
      <c r="Q115" s="29"/>
      <c r="R115" s="29"/>
      <c r="S115" s="29"/>
      <c r="T115" s="29"/>
      <c r="U115" s="29"/>
      <c r="V115" s="29"/>
      <c r="W115" s="29"/>
      <c r="X115" s="29"/>
      <c r="Y115" s="29"/>
      <c r="Z115" s="29"/>
    </row>
    <row r="116" ht="18.75" customHeight="1">
      <c r="A116" s="37"/>
      <c r="B116" s="38"/>
      <c r="C116" s="29"/>
      <c r="D116" s="39"/>
      <c r="E116" s="29"/>
      <c r="F116" s="40"/>
      <c r="G116" s="40"/>
      <c r="H116" s="40"/>
      <c r="I116" s="29"/>
      <c r="J116" s="29"/>
      <c r="K116" s="29"/>
      <c r="L116" s="29"/>
      <c r="M116" s="29"/>
      <c r="N116" s="29"/>
      <c r="O116" s="29"/>
      <c r="P116" s="29"/>
      <c r="Q116" s="29"/>
      <c r="R116" s="29"/>
      <c r="S116" s="29"/>
      <c r="T116" s="29"/>
      <c r="U116" s="29"/>
      <c r="V116" s="29"/>
      <c r="W116" s="29"/>
      <c r="X116" s="29"/>
      <c r="Y116" s="29"/>
      <c r="Z116" s="29"/>
    </row>
    <row r="117" ht="18.75" customHeight="1">
      <c r="A117" s="37"/>
      <c r="B117" s="38"/>
      <c r="C117" s="29"/>
      <c r="D117" s="39"/>
      <c r="E117" s="29"/>
      <c r="F117" s="40"/>
      <c r="G117" s="40"/>
      <c r="H117" s="40"/>
      <c r="I117" s="29"/>
      <c r="J117" s="29"/>
      <c r="K117" s="29"/>
      <c r="L117" s="29"/>
      <c r="M117" s="29"/>
      <c r="N117" s="29"/>
      <c r="O117" s="29"/>
      <c r="P117" s="29"/>
      <c r="Q117" s="29"/>
      <c r="R117" s="29"/>
      <c r="S117" s="29"/>
      <c r="T117" s="29"/>
      <c r="U117" s="29"/>
      <c r="V117" s="29"/>
      <c r="W117" s="29"/>
      <c r="X117" s="29"/>
      <c r="Y117" s="29"/>
      <c r="Z117" s="29"/>
    </row>
    <row r="118" ht="18.75" customHeight="1">
      <c r="A118" s="37"/>
      <c r="B118" s="38"/>
      <c r="C118" s="29"/>
      <c r="D118" s="39"/>
      <c r="E118" s="29"/>
      <c r="F118" s="40"/>
      <c r="G118" s="40"/>
      <c r="H118" s="40"/>
      <c r="I118" s="29"/>
      <c r="J118" s="29"/>
      <c r="K118" s="29"/>
      <c r="L118" s="29"/>
      <c r="M118" s="29"/>
      <c r="N118" s="29"/>
      <c r="O118" s="29"/>
      <c r="P118" s="29"/>
      <c r="Q118" s="29"/>
      <c r="R118" s="29"/>
      <c r="S118" s="29"/>
      <c r="T118" s="29"/>
      <c r="U118" s="29"/>
      <c r="V118" s="29"/>
      <c r="W118" s="29"/>
      <c r="X118" s="29"/>
      <c r="Y118" s="29"/>
      <c r="Z118" s="29"/>
    </row>
    <row r="119" ht="18.75" customHeight="1">
      <c r="A119" s="37"/>
      <c r="B119" s="38"/>
      <c r="C119" s="29"/>
      <c r="D119" s="39"/>
      <c r="E119" s="29"/>
      <c r="F119" s="40"/>
      <c r="G119" s="40"/>
      <c r="H119" s="40"/>
      <c r="I119" s="29"/>
      <c r="J119" s="29"/>
      <c r="K119" s="29"/>
      <c r="L119" s="29"/>
      <c r="M119" s="29"/>
      <c r="N119" s="29"/>
      <c r="O119" s="29"/>
      <c r="P119" s="29"/>
      <c r="Q119" s="29"/>
      <c r="R119" s="29"/>
      <c r="S119" s="29"/>
      <c r="T119" s="29"/>
      <c r="U119" s="29"/>
      <c r="V119" s="29"/>
      <c r="W119" s="29"/>
      <c r="X119" s="29"/>
      <c r="Y119" s="29"/>
      <c r="Z119" s="29"/>
    </row>
    <row r="120" ht="18.75" customHeight="1">
      <c r="A120" s="37"/>
      <c r="B120" s="38"/>
      <c r="C120" s="29"/>
      <c r="D120" s="39"/>
      <c r="E120" s="29"/>
      <c r="F120" s="40"/>
      <c r="G120" s="40"/>
      <c r="H120" s="40"/>
      <c r="I120" s="29"/>
      <c r="J120" s="29"/>
      <c r="K120" s="29"/>
      <c r="L120" s="29"/>
      <c r="M120" s="29"/>
      <c r="N120" s="29"/>
      <c r="O120" s="29"/>
      <c r="P120" s="29"/>
      <c r="Q120" s="29"/>
      <c r="R120" s="29"/>
      <c r="S120" s="29"/>
      <c r="T120" s="29"/>
      <c r="U120" s="29"/>
      <c r="V120" s="29"/>
      <c r="W120" s="29"/>
      <c r="X120" s="29"/>
      <c r="Y120" s="29"/>
      <c r="Z120" s="29"/>
    </row>
    <row r="121" ht="18.75" customHeight="1">
      <c r="A121" s="37"/>
      <c r="B121" s="38"/>
      <c r="C121" s="29"/>
      <c r="D121" s="39"/>
      <c r="E121" s="29"/>
      <c r="F121" s="40"/>
      <c r="G121" s="40"/>
      <c r="H121" s="40"/>
      <c r="I121" s="29"/>
      <c r="J121" s="29"/>
      <c r="K121" s="29"/>
      <c r="L121" s="29"/>
      <c r="M121" s="29"/>
      <c r="N121" s="29"/>
      <c r="O121" s="29"/>
      <c r="P121" s="29"/>
      <c r="Q121" s="29"/>
      <c r="R121" s="29"/>
      <c r="S121" s="29"/>
      <c r="T121" s="29"/>
      <c r="U121" s="29"/>
      <c r="V121" s="29"/>
      <c r="W121" s="29"/>
      <c r="X121" s="29"/>
      <c r="Y121" s="29"/>
      <c r="Z121" s="29"/>
    </row>
    <row r="122" ht="18.75" customHeight="1">
      <c r="A122" s="37"/>
      <c r="B122" s="38"/>
      <c r="C122" s="29"/>
      <c r="D122" s="39"/>
      <c r="E122" s="29"/>
      <c r="F122" s="40"/>
      <c r="G122" s="40"/>
      <c r="H122" s="40"/>
      <c r="I122" s="29"/>
      <c r="J122" s="29"/>
      <c r="K122" s="29"/>
      <c r="L122" s="29"/>
      <c r="M122" s="29"/>
      <c r="N122" s="29"/>
      <c r="O122" s="29"/>
      <c r="P122" s="29"/>
      <c r="Q122" s="29"/>
      <c r="R122" s="29"/>
      <c r="S122" s="29"/>
      <c r="T122" s="29"/>
      <c r="U122" s="29"/>
      <c r="V122" s="29"/>
      <c r="W122" s="29"/>
      <c r="X122" s="29"/>
      <c r="Y122" s="29"/>
      <c r="Z122" s="29"/>
    </row>
    <row r="123" ht="18.75" customHeight="1">
      <c r="A123" s="37"/>
      <c r="B123" s="38"/>
      <c r="C123" s="29"/>
      <c r="D123" s="39"/>
      <c r="E123" s="29"/>
      <c r="F123" s="40"/>
      <c r="G123" s="40"/>
      <c r="H123" s="40"/>
      <c r="I123" s="29"/>
      <c r="J123" s="29"/>
      <c r="K123" s="29"/>
      <c r="L123" s="29"/>
      <c r="M123" s="29"/>
      <c r="N123" s="29"/>
      <c r="O123" s="29"/>
      <c r="P123" s="29"/>
      <c r="Q123" s="29"/>
      <c r="R123" s="29"/>
      <c r="S123" s="29"/>
      <c r="T123" s="29"/>
      <c r="U123" s="29"/>
      <c r="V123" s="29"/>
      <c r="W123" s="29"/>
      <c r="X123" s="29"/>
      <c r="Y123" s="29"/>
      <c r="Z123" s="29"/>
    </row>
    <row r="124" ht="18.75" customHeight="1">
      <c r="A124" s="37"/>
      <c r="B124" s="38"/>
      <c r="C124" s="29"/>
      <c r="D124" s="39"/>
      <c r="E124" s="29"/>
      <c r="F124" s="40"/>
      <c r="G124" s="40"/>
      <c r="H124" s="40"/>
      <c r="I124" s="29"/>
      <c r="J124" s="29"/>
      <c r="K124" s="29"/>
      <c r="L124" s="29"/>
      <c r="M124" s="29"/>
      <c r="N124" s="29"/>
      <c r="O124" s="29"/>
      <c r="P124" s="29"/>
      <c r="Q124" s="29"/>
      <c r="R124" s="29"/>
      <c r="S124" s="29"/>
      <c r="T124" s="29"/>
      <c r="U124" s="29"/>
      <c r="V124" s="29"/>
      <c r="W124" s="29"/>
      <c r="X124" s="29"/>
      <c r="Y124" s="29"/>
      <c r="Z124" s="29"/>
    </row>
    <row r="125" ht="18.75" customHeight="1">
      <c r="A125" s="37"/>
      <c r="B125" s="38"/>
      <c r="C125" s="29"/>
      <c r="D125" s="39"/>
      <c r="E125" s="29"/>
      <c r="F125" s="40"/>
      <c r="G125" s="40"/>
      <c r="H125" s="40"/>
      <c r="I125" s="29"/>
      <c r="J125" s="29"/>
      <c r="K125" s="29"/>
      <c r="L125" s="29"/>
      <c r="M125" s="29"/>
      <c r="N125" s="29"/>
      <c r="O125" s="29"/>
      <c r="P125" s="29"/>
      <c r="Q125" s="29"/>
      <c r="R125" s="29"/>
      <c r="S125" s="29"/>
      <c r="T125" s="29"/>
      <c r="U125" s="29"/>
      <c r="V125" s="29"/>
      <c r="W125" s="29"/>
      <c r="X125" s="29"/>
      <c r="Y125" s="29"/>
      <c r="Z125" s="29"/>
    </row>
    <row r="126" ht="18.75" customHeight="1">
      <c r="A126" s="37"/>
      <c r="B126" s="38"/>
      <c r="C126" s="29"/>
      <c r="D126" s="39"/>
      <c r="E126" s="29"/>
      <c r="F126" s="40"/>
      <c r="G126" s="40"/>
      <c r="H126" s="40"/>
      <c r="I126" s="29"/>
      <c r="J126" s="29"/>
      <c r="K126" s="29"/>
      <c r="L126" s="29"/>
      <c r="M126" s="29"/>
      <c r="N126" s="29"/>
      <c r="O126" s="29"/>
      <c r="P126" s="29"/>
      <c r="Q126" s="29"/>
      <c r="R126" s="29"/>
      <c r="S126" s="29"/>
      <c r="T126" s="29"/>
      <c r="U126" s="29"/>
      <c r="V126" s="29"/>
      <c r="W126" s="29"/>
      <c r="X126" s="29"/>
      <c r="Y126" s="29"/>
      <c r="Z126" s="29"/>
    </row>
    <row r="127" ht="18.75" customHeight="1">
      <c r="A127" s="37"/>
      <c r="B127" s="38"/>
      <c r="C127" s="29"/>
      <c r="D127" s="39"/>
      <c r="E127" s="29"/>
      <c r="F127" s="40"/>
      <c r="G127" s="40"/>
      <c r="H127" s="40"/>
      <c r="I127" s="29"/>
      <c r="J127" s="29"/>
      <c r="K127" s="29"/>
      <c r="L127" s="29"/>
      <c r="M127" s="29"/>
      <c r="N127" s="29"/>
      <c r="O127" s="29"/>
      <c r="P127" s="29"/>
      <c r="Q127" s="29"/>
      <c r="R127" s="29"/>
      <c r="S127" s="29"/>
      <c r="T127" s="29"/>
      <c r="U127" s="29"/>
      <c r="V127" s="29"/>
      <c r="W127" s="29"/>
      <c r="X127" s="29"/>
      <c r="Y127" s="29"/>
      <c r="Z127" s="29"/>
    </row>
    <row r="128" ht="18.75" customHeight="1">
      <c r="A128" s="37"/>
      <c r="B128" s="38"/>
      <c r="C128" s="29"/>
      <c r="D128" s="39"/>
      <c r="E128" s="29"/>
      <c r="F128" s="40"/>
      <c r="G128" s="40"/>
      <c r="H128" s="40"/>
      <c r="I128" s="29"/>
      <c r="J128" s="29"/>
      <c r="K128" s="29"/>
      <c r="L128" s="29"/>
      <c r="M128" s="29"/>
      <c r="N128" s="29"/>
      <c r="O128" s="29"/>
      <c r="P128" s="29"/>
      <c r="Q128" s="29"/>
      <c r="R128" s="29"/>
      <c r="S128" s="29"/>
      <c r="T128" s="29"/>
      <c r="U128" s="29"/>
      <c r="V128" s="29"/>
      <c r="W128" s="29"/>
      <c r="X128" s="29"/>
      <c r="Y128" s="29"/>
      <c r="Z128" s="29"/>
    </row>
    <row r="129" ht="18.75" customHeight="1">
      <c r="A129" s="37"/>
      <c r="B129" s="38"/>
      <c r="C129" s="29"/>
      <c r="D129" s="39"/>
      <c r="E129" s="29"/>
      <c r="F129" s="40"/>
      <c r="G129" s="40"/>
      <c r="H129" s="40"/>
      <c r="I129" s="29"/>
      <c r="J129" s="29"/>
      <c r="K129" s="29"/>
      <c r="L129" s="29"/>
      <c r="M129" s="29"/>
      <c r="N129" s="29"/>
      <c r="O129" s="29"/>
      <c r="P129" s="29"/>
      <c r="Q129" s="29"/>
      <c r="R129" s="29"/>
      <c r="S129" s="29"/>
      <c r="T129" s="29"/>
      <c r="U129" s="29"/>
      <c r="V129" s="29"/>
      <c r="W129" s="29"/>
      <c r="X129" s="29"/>
      <c r="Y129" s="29"/>
      <c r="Z129" s="29"/>
    </row>
    <row r="130" ht="18.75" customHeight="1">
      <c r="A130" s="37"/>
      <c r="B130" s="38"/>
      <c r="C130" s="29"/>
      <c r="D130" s="39"/>
      <c r="E130" s="29"/>
      <c r="F130" s="40"/>
      <c r="G130" s="40"/>
      <c r="H130" s="40"/>
      <c r="I130" s="29"/>
      <c r="J130" s="29"/>
      <c r="K130" s="29"/>
      <c r="L130" s="29"/>
      <c r="M130" s="29"/>
      <c r="N130" s="29"/>
      <c r="O130" s="29"/>
      <c r="P130" s="29"/>
      <c r="Q130" s="29"/>
      <c r="R130" s="29"/>
      <c r="S130" s="29"/>
      <c r="T130" s="29"/>
      <c r="U130" s="29"/>
      <c r="V130" s="29"/>
      <c r="W130" s="29"/>
      <c r="X130" s="29"/>
      <c r="Y130" s="29"/>
      <c r="Z130" s="29"/>
    </row>
    <row r="131" ht="18.75" customHeight="1">
      <c r="A131" s="37"/>
      <c r="B131" s="38"/>
      <c r="C131" s="29"/>
      <c r="D131" s="39"/>
      <c r="E131" s="29"/>
      <c r="F131" s="40"/>
      <c r="G131" s="40"/>
      <c r="H131" s="40"/>
      <c r="I131" s="29"/>
      <c r="J131" s="29"/>
      <c r="K131" s="29"/>
      <c r="L131" s="29"/>
      <c r="M131" s="29"/>
      <c r="N131" s="29"/>
      <c r="O131" s="29"/>
      <c r="P131" s="29"/>
      <c r="Q131" s="29"/>
      <c r="R131" s="29"/>
      <c r="S131" s="29"/>
      <c r="T131" s="29"/>
      <c r="U131" s="29"/>
      <c r="V131" s="29"/>
      <c r="W131" s="29"/>
      <c r="X131" s="29"/>
      <c r="Y131" s="29"/>
      <c r="Z131" s="29"/>
    </row>
    <row r="132" ht="18.75" customHeight="1">
      <c r="A132" s="37"/>
      <c r="B132" s="38"/>
      <c r="C132" s="29"/>
      <c r="D132" s="39"/>
      <c r="E132" s="29"/>
      <c r="F132" s="40"/>
      <c r="G132" s="40"/>
      <c r="H132" s="40"/>
      <c r="I132" s="29"/>
      <c r="J132" s="29"/>
      <c r="K132" s="29"/>
      <c r="L132" s="29"/>
      <c r="M132" s="29"/>
      <c r="N132" s="29"/>
      <c r="O132" s="29"/>
      <c r="P132" s="29"/>
      <c r="Q132" s="29"/>
      <c r="R132" s="29"/>
      <c r="S132" s="29"/>
      <c r="T132" s="29"/>
      <c r="U132" s="29"/>
      <c r="V132" s="29"/>
      <c r="W132" s="29"/>
      <c r="X132" s="29"/>
      <c r="Y132" s="29"/>
      <c r="Z132" s="29"/>
    </row>
    <row r="133" ht="18.75" customHeight="1">
      <c r="A133" s="37"/>
      <c r="B133" s="38"/>
      <c r="C133" s="29"/>
      <c r="D133" s="39"/>
      <c r="E133" s="29"/>
      <c r="F133" s="40"/>
      <c r="G133" s="40"/>
      <c r="H133" s="40"/>
      <c r="I133" s="29"/>
      <c r="J133" s="29"/>
      <c r="K133" s="29"/>
      <c r="L133" s="29"/>
      <c r="M133" s="29"/>
      <c r="N133" s="29"/>
      <c r="O133" s="29"/>
      <c r="P133" s="29"/>
      <c r="Q133" s="29"/>
      <c r="R133" s="29"/>
      <c r="S133" s="29"/>
      <c r="T133" s="29"/>
      <c r="U133" s="29"/>
      <c r="V133" s="29"/>
      <c r="W133" s="29"/>
      <c r="X133" s="29"/>
      <c r="Y133" s="29"/>
      <c r="Z133" s="29"/>
    </row>
    <row r="134" ht="18.75" customHeight="1">
      <c r="A134" s="37"/>
      <c r="B134" s="38"/>
      <c r="C134" s="29"/>
      <c r="D134" s="39"/>
      <c r="E134" s="29"/>
      <c r="F134" s="40"/>
      <c r="G134" s="40"/>
      <c r="H134" s="40"/>
      <c r="I134" s="29"/>
      <c r="J134" s="29"/>
      <c r="K134" s="29"/>
      <c r="L134" s="29"/>
      <c r="M134" s="29"/>
      <c r="N134" s="29"/>
      <c r="O134" s="29"/>
      <c r="P134" s="29"/>
      <c r="Q134" s="29"/>
      <c r="R134" s="29"/>
      <c r="S134" s="29"/>
      <c r="T134" s="29"/>
      <c r="U134" s="29"/>
      <c r="V134" s="29"/>
      <c r="W134" s="29"/>
      <c r="X134" s="29"/>
      <c r="Y134" s="29"/>
      <c r="Z134" s="29"/>
    </row>
    <row r="135" ht="18.75" customHeight="1">
      <c r="A135" s="37"/>
      <c r="B135" s="38"/>
      <c r="C135" s="29"/>
      <c r="D135" s="39"/>
      <c r="E135" s="29"/>
      <c r="F135" s="40"/>
      <c r="G135" s="40"/>
      <c r="H135" s="40"/>
      <c r="I135" s="29"/>
      <c r="J135" s="29"/>
      <c r="K135" s="29"/>
      <c r="L135" s="29"/>
      <c r="M135" s="29"/>
      <c r="N135" s="29"/>
      <c r="O135" s="29"/>
      <c r="P135" s="29"/>
      <c r="Q135" s="29"/>
      <c r="R135" s="29"/>
      <c r="S135" s="29"/>
      <c r="T135" s="29"/>
      <c r="U135" s="29"/>
      <c r="V135" s="29"/>
      <c r="W135" s="29"/>
      <c r="X135" s="29"/>
      <c r="Y135" s="29"/>
      <c r="Z135" s="29"/>
    </row>
    <row r="136" ht="18.75" customHeight="1">
      <c r="A136" s="37"/>
      <c r="B136" s="38"/>
      <c r="C136" s="29"/>
      <c r="D136" s="39"/>
      <c r="E136" s="29"/>
      <c r="F136" s="40"/>
      <c r="G136" s="40"/>
      <c r="H136" s="40"/>
      <c r="I136" s="29"/>
      <c r="J136" s="29"/>
      <c r="K136" s="29"/>
      <c r="L136" s="29"/>
      <c r="M136" s="29"/>
      <c r="N136" s="29"/>
      <c r="O136" s="29"/>
      <c r="P136" s="29"/>
      <c r="Q136" s="29"/>
      <c r="R136" s="29"/>
      <c r="S136" s="29"/>
      <c r="T136" s="29"/>
      <c r="U136" s="29"/>
      <c r="V136" s="29"/>
      <c r="W136" s="29"/>
      <c r="X136" s="29"/>
      <c r="Y136" s="29"/>
      <c r="Z136" s="29"/>
    </row>
    <row r="137" ht="18.75" customHeight="1">
      <c r="A137" s="37"/>
      <c r="B137" s="38"/>
      <c r="C137" s="29"/>
      <c r="D137" s="39"/>
      <c r="E137" s="29"/>
      <c r="F137" s="40"/>
      <c r="G137" s="40"/>
      <c r="H137" s="40"/>
      <c r="I137" s="29"/>
      <c r="J137" s="29"/>
      <c r="K137" s="29"/>
      <c r="L137" s="29"/>
      <c r="M137" s="29"/>
      <c r="N137" s="29"/>
      <c r="O137" s="29"/>
      <c r="P137" s="29"/>
      <c r="Q137" s="29"/>
      <c r="R137" s="29"/>
      <c r="S137" s="29"/>
      <c r="T137" s="29"/>
      <c r="U137" s="29"/>
      <c r="V137" s="29"/>
      <c r="W137" s="29"/>
      <c r="X137" s="29"/>
      <c r="Y137" s="29"/>
      <c r="Z137" s="29"/>
    </row>
    <row r="138" ht="18.75" customHeight="1">
      <c r="A138" s="37"/>
      <c r="B138" s="38"/>
      <c r="C138" s="29"/>
      <c r="D138" s="39"/>
      <c r="E138" s="29"/>
      <c r="F138" s="40"/>
      <c r="G138" s="40"/>
      <c r="H138" s="40"/>
      <c r="I138" s="29"/>
      <c r="J138" s="29"/>
      <c r="K138" s="29"/>
      <c r="L138" s="29"/>
      <c r="M138" s="29"/>
      <c r="N138" s="29"/>
      <c r="O138" s="29"/>
      <c r="P138" s="29"/>
      <c r="Q138" s="29"/>
      <c r="R138" s="29"/>
      <c r="S138" s="29"/>
      <c r="T138" s="29"/>
      <c r="U138" s="29"/>
      <c r="V138" s="29"/>
      <c r="W138" s="29"/>
      <c r="X138" s="29"/>
      <c r="Y138" s="29"/>
      <c r="Z138" s="29"/>
    </row>
    <row r="139" ht="18.75" customHeight="1">
      <c r="A139" s="37"/>
      <c r="B139" s="38"/>
      <c r="C139" s="29"/>
      <c r="D139" s="39"/>
      <c r="E139" s="29"/>
      <c r="F139" s="40"/>
      <c r="G139" s="40"/>
      <c r="H139" s="40"/>
      <c r="I139" s="29"/>
      <c r="J139" s="29"/>
      <c r="K139" s="29"/>
      <c r="L139" s="29"/>
      <c r="M139" s="29"/>
      <c r="N139" s="29"/>
      <c r="O139" s="29"/>
      <c r="P139" s="29"/>
      <c r="Q139" s="29"/>
      <c r="R139" s="29"/>
      <c r="S139" s="29"/>
      <c r="T139" s="29"/>
      <c r="U139" s="29"/>
      <c r="V139" s="29"/>
      <c r="W139" s="29"/>
      <c r="X139" s="29"/>
      <c r="Y139" s="29"/>
      <c r="Z139" s="29"/>
    </row>
    <row r="140" ht="18.75" customHeight="1">
      <c r="A140" s="37"/>
      <c r="B140" s="38"/>
      <c r="C140" s="29"/>
      <c r="D140" s="39"/>
      <c r="E140" s="29"/>
      <c r="F140" s="40"/>
      <c r="G140" s="40"/>
      <c r="H140" s="40"/>
      <c r="I140" s="29"/>
      <c r="J140" s="29"/>
      <c r="K140" s="29"/>
      <c r="L140" s="29"/>
      <c r="M140" s="29"/>
      <c r="N140" s="29"/>
      <c r="O140" s="29"/>
      <c r="P140" s="29"/>
      <c r="Q140" s="29"/>
      <c r="R140" s="29"/>
      <c r="S140" s="29"/>
      <c r="T140" s="29"/>
      <c r="U140" s="29"/>
      <c r="V140" s="29"/>
      <c r="W140" s="29"/>
      <c r="X140" s="29"/>
      <c r="Y140" s="29"/>
      <c r="Z140" s="29"/>
    </row>
    <row r="141" ht="18.75" customHeight="1">
      <c r="A141" s="37"/>
      <c r="B141" s="38"/>
      <c r="C141" s="29"/>
      <c r="D141" s="39"/>
      <c r="E141" s="29"/>
      <c r="F141" s="40"/>
      <c r="G141" s="40"/>
      <c r="H141" s="40"/>
      <c r="I141" s="29"/>
      <c r="J141" s="29"/>
      <c r="K141" s="29"/>
      <c r="L141" s="29"/>
      <c r="M141" s="29"/>
      <c r="N141" s="29"/>
      <c r="O141" s="29"/>
      <c r="P141" s="29"/>
      <c r="Q141" s="29"/>
      <c r="R141" s="29"/>
      <c r="S141" s="29"/>
      <c r="T141" s="29"/>
      <c r="U141" s="29"/>
      <c r="V141" s="29"/>
      <c r="W141" s="29"/>
      <c r="X141" s="29"/>
      <c r="Y141" s="29"/>
      <c r="Z141" s="29"/>
    </row>
    <row r="142" ht="18.75" customHeight="1">
      <c r="A142" s="37"/>
      <c r="B142" s="38"/>
      <c r="C142" s="29"/>
      <c r="D142" s="39"/>
      <c r="E142" s="29"/>
      <c r="F142" s="40"/>
      <c r="G142" s="40"/>
      <c r="H142" s="40"/>
      <c r="I142" s="29"/>
      <c r="J142" s="29"/>
      <c r="K142" s="29"/>
      <c r="L142" s="29"/>
      <c r="M142" s="29"/>
      <c r="N142" s="29"/>
      <c r="O142" s="29"/>
      <c r="P142" s="29"/>
      <c r="Q142" s="29"/>
      <c r="R142" s="29"/>
      <c r="S142" s="29"/>
      <c r="T142" s="29"/>
      <c r="U142" s="29"/>
      <c r="V142" s="29"/>
      <c r="W142" s="29"/>
      <c r="X142" s="29"/>
      <c r="Y142" s="29"/>
      <c r="Z142" s="29"/>
    </row>
    <row r="143" ht="18.75" customHeight="1">
      <c r="A143" s="37"/>
      <c r="B143" s="38"/>
      <c r="C143" s="29"/>
      <c r="D143" s="39"/>
      <c r="E143" s="29"/>
      <c r="F143" s="40"/>
      <c r="G143" s="40"/>
      <c r="H143" s="40"/>
      <c r="I143" s="29"/>
      <c r="J143" s="29"/>
      <c r="K143" s="29"/>
      <c r="L143" s="29"/>
      <c r="M143" s="29"/>
      <c r="N143" s="29"/>
      <c r="O143" s="29"/>
      <c r="P143" s="29"/>
      <c r="Q143" s="29"/>
      <c r="R143" s="29"/>
      <c r="S143" s="29"/>
      <c r="T143" s="29"/>
      <c r="U143" s="29"/>
      <c r="V143" s="29"/>
      <c r="W143" s="29"/>
      <c r="X143" s="29"/>
      <c r="Y143" s="29"/>
      <c r="Z143" s="29"/>
    </row>
    <row r="144" ht="18.75" customHeight="1">
      <c r="A144" s="37"/>
      <c r="B144" s="38"/>
      <c r="C144" s="29"/>
      <c r="D144" s="39"/>
      <c r="E144" s="29"/>
      <c r="F144" s="40"/>
      <c r="G144" s="40"/>
      <c r="H144" s="40"/>
      <c r="I144" s="29"/>
      <c r="J144" s="29"/>
      <c r="K144" s="29"/>
      <c r="L144" s="29"/>
      <c r="M144" s="29"/>
      <c r="N144" s="29"/>
      <c r="O144" s="29"/>
      <c r="P144" s="29"/>
      <c r="Q144" s="29"/>
      <c r="R144" s="29"/>
      <c r="S144" s="29"/>
      <c r="T144" s="29"/>
      <c r="U144" s="29"/>
      <c r="V144" s="29"/>
      <c r="W144" s="29"/>
      <c r="X144" s="29"/>
      <c r="Y144" s="29"/>
      <c r="Z144" s="29"/>
    </row>
    <row r="145" ht="18.75" customHeight="1">
      <c r="A145" s="37"/>
      <c r="B145" s="38"/>
      <c r="C145" s="29"/>
      <c r="D145" s="39"/>
      <c r="E145" s="29"/>
      <c r="F145" s="40"/>
      <c r="G145" s="40"/>
      <c r="H145" s="40"/>
      <c r="I145" s="29"/>
      <c r="J145" s="29"/>
      <c r="K145" s="29"/>
      <c r="L145" s="29"/>
      <c r="M145" s="29"/>
      <c r="N145" s="29"/>
      <c r="O145" s="29"/>
      <c r="P145" s="29"/>
      <c r="Q145" s="29"/>
      <c r="R145" s="29"/>
      <c r="S145" s="29"/>
      <c r="T145" s="29"/>
      <c r="U145" s="29"/>
      <c r="V145" s="29"/>
      <c r="W145" s="29"/>
      <c r="X145" s="29"/>
      <c r="Y145" s="29"/>
      <c r="Z145" s="29"/>
    </row>
    <row r="146" ht="18.75" customHeight="1">
      <c r="A146" s="37"/>
      <c r="B146" s="38"/>
      <c r="C146" s="29"/>
      <c r="D146" s="39"/>
      <c r="E146" s="29"/>
      <c r="F146" s="40"/>
      <c r="G146" s="40"/>
      <c r="H146" s="40"/>
      <c r="I146" s="29"/>
      <c r="J146" s="29"/>
      <c r="K146" s="29"/>
      <c r="L146" s="29"/>
      <c r="M146" s="29"/>
      <c r="N146" s="29"/>
      <c r="O146" s="29"/>
      <c r="P146" s="29"/>
      <c r="Q146" s="29"/>
      <c r="R146" s="29"/>
      <c r="S146" s="29"/>
      <c r="T146" s="29"/>
      <c r="U146" s="29"/>
      <c r="V146" s="29"/>
      <c r="W146" s="29"/>
      <c r="X146" s="29"/>
      <c r="Y146" s="29"/>
      <c r="Z146" s="29"/>
    </row>
    <row r="147" ht="18.75" customHeight="1">
      <c r="A147" s="37"/>
      <c r="B147" s="38"/>
      <c r="C147" s="29"/>
      <c r="D147" s="39"/>
      <c r="E147" s="29"/>
      <c r="F147" s="40"/>
      <c r="G147" s="40"/>
      <c r="H147" s="40"/>
      <c r="I147" s="29"/>
      <c r="J147" s="29"/>
      <c r="K147" s="29"/>
      <c r="L147" s="29"/>
      <c r="M147" s="29"/>
      <c r="N147" s="29"/>
      <c r="O147" s="29"/>
      <c r="P147" s="29"/>
      <c r="Q147" s="29"/>
      <c r="R147" s="29"/>
      <c r="S147" s="29"/>
      <c r="T147" s="29"/>
      <c r="U147" s="29"/>
      <c r="V147" s="29"/>
      <c r="W147" s="29"/>
      <c r="X147" s="29"/>
      <c r="Y147" s="29"/>
      <c r="Z147" s="29"/>
    </row>
    <row r="148" ht="18.75" customHeight="1">
      <c r="A148" s="37"/>
      <c r="B148" s="38"/>
      <c r="C148" s="29"/>
      <c r="D148" s="39"/>
      <c r="E148" s="29"/>
      <c r="F148" s="40"/>
      <c r="G148" s="40"/>
      <c r="H148" s="40"/>
      <c r="I148" s="29"/>
      <c r="J148" s="29"/>
      <c r="K148" s="29"/>
      <c r="L148" s="29"/>
      <c r="M148" s="29"/>
      <c r="N148" s="29"/>
      <c r="O148" s="29"/>
      <c r="P148" s="29"/>
      <c r="Q148" s="29"/>
      <c r="R148" s="29"/>
      <c r="S148" s="29"/>
      <c r="T148" s="29"/>
      <c r="U148" s="29"/>
      <c r="V148" s="29"/>
      <c r="W148" s="29"/>
      <c r="X148" s="29"/>
      <c r="Y148" s="29"/>
      <c r="Z148" s="29"/>
    </row>
    <row r="149" ht="18.75" customHeight="1">
      <c r="A149" s="37"/>
      <c r="B149" s="38"/>
      <c r="C149" s="29"/>
      <c r="D149" s="39"/>
      <c r="E149" s="29"/>
      <c r="F149" s="40"/>
      <c r="G149" s="40"/>
      <c r="H149" s="40"/>
      <c r="I149" s="29"/>
      <c r="J149" s="29"/>
      <c r="K149" s="29"/>
      <c r="L149" s="29"/>
      <c r="M149" s="29"/>
      <c r="N149" s="29"/>
      <c r="O149" s="29"/>
      <c r="P149" s="29"/>
      <c r="Q149" s="29"/>
      <c r="R149" s="29"/>
      <c r="S149" s="29"/>
      <c r="T149" s="29"/>
      <c r="U149" s="29"/>
      <c r="V149" s="29"/>
      <c r="W149" s="29"/>
      <c r="X149" s="29"/>
      <c r="Y149" s="29"/>
      <c r="Z149" s="29"/>
    </row>
    <row r="150" ht="18.75" customHeight="1">
      <c r="A150" s="37"/>
      <c r="B150" s="38"/>
      <c r="C150" s="29"/>
      <c r="D150" s="39"/>
      <c r="E150" s="29"/>
      <c r="F150" s="40"/>
      <c r="G150" s="40"/>
      <c r="H150" s="40"/>
      <c r="I150" s="29"/>
      <c r="J150" s="29"/>
      <c r="K150" s="29"/>
      <c r="L150" s="29"/>
      <c r="M150" s="29"/>
      <c r="N150" s="29"/>
      <c r="O150" s="29"/>
      <c r="P150" s="29"/>
      <c r="Q150" s="29"/>
      <c r="R150" s="29"/>
      <c r="S150" s="29"/>
      <c r="T150" s="29"/>
      <c r="U150" s="29"/>
      <c r="V150" s="29"/>
      <c r="W150" s="29"/>
      <c r="X150" s="29"/>
      <c r="Y150" s="29"/>
      <c r="Z150" s="29"/>
    </row>
    <row r="151" ht="18.75" customHeight="1">
      <c r="A151" s="37"/>
      <c r="B151" s="38"/>
      <c r="C151" s="29"/>
      <c r="D151" s="39"/>
      <c r="E151" s="29"/>
      <c r="F151" s="40"/>
      <c r="G151" s="40"/>
      <c r="H151" s="40"/>
      <c r="I151" s="29"/>
      <c r="J151" s="29"/>
      <c r="K151" s="29"/>
      <c r="L151" s="29"/>
      <c r="M151" s="29"/>
      <c r="N151" s="29"/>
      <c r="O151" s="29"/>
      <c r="P151" s="29"/>
      <c r="Q151" s="29"/>
      <c r="R151" s="29"/>
      <c r="S151" s="29"/>
      <c r="T151" s="29"/>
      <c r="U151" s="29"/>
      <c r="V151" s="29"/>
      <c r="W151" s="29"/>
      <c r="X151" s="29"/>
      <c r="Y151" s="29"/>
      <c r="Z151" s="29"/>
    </row>
    <row r="152" ht="18.75" customHeight="1">
      <c r="A152" s="37"/>
      <c r="B152" s="38"/>
      <c r="C152" s="29"/>
      <c r="D152" s="39"/>
      <c r="E152" s="29"/>
      <c r="F152" s="40"/>
      <c r="G152" s="40"/>
      <c r="H152" s="40"/>
      <c r="I152" s="29"/>
      <c r="J152" s="29"/>
      <c r="K152" s="29"/>
      <c r="L152" s="29"/>
      <c r="M152" s="29"/>
      <c r="N152" s="29"/>
      <c r="O152" s="29"/>
      <c r="P152" s="29"/>
      <c r="Q152" s="29"/>
      <c r="R152" s="29"/>
      <c r="S152" s="29"/>
      <c r="T152" s="29"/>
      <c r="U152" s="29"/>
      <c r="V152" s="29"/>
      <c r="W152" s="29"/>
      <c r="X152" s="29"/>
      <c r="Y152" s="29"/>
      <c r="Z152" s="29"/>
    </row>
    <row r="153" ht="18.75" customHeight="1">
      <c r="A153" s="37"/>
      <c r="B153" s="38"/>
      <c r="C153" s="29"/>
      <c r="D153" s="39"/>
      <c r="E153" s="29"/>
      <c r="F153" s="40"/>
      <c r="G153" s="40"/>
      <c r="H153" s="40"/>
      <c r="I153" s="29"/>
      <c r="J153" s="29"/>
      <c r="K153" s="29"/>
      <c r="L153" s="29"/>
      <c r="M153" s="29"/>
      <c r="N153" s="29"/>
      <c r="O153" s="29"/>
      <c r="P153" s="29"/>
      <c r="Q153" s="29"/>
      <c r="R153" s="29"/>
      <c r="S153" s="29"/>
      <c r="T153" s="29"/>
      <c r="U153" s="29"/>
      <c r="V153" s="29"/>
      <c r="W153" s="29"/>
      <c r="X153" s="29"/>
      <c r="Y153" s="29"/>
      <c r="Z153" s="29"/>
    </row>
    <row r="154" ht="18.75" customHeight="1">
      <c r="A154" s="37"/>
      <c r="B154" s="38"/>
      <c r="C154" s="29"/>
      <c r="D154" s="39"/>
      <c r="E154" s="29"/>
      <c r="F154" s="40"/>
      <c r="G154" s="40"/>
      <c r="H154" s="40"/>
      <c r="I154" s="29"/>
      <c r="J154" s="29"/>
      <c r="K154" s="29"/>
      <c r="L154" s="29"/>
      <c r="M154" s="29"/>
      <c r="N154" s="29"/>
      <c r="O154" s="29"/>
      <c r="P154" s="29"/>
      <c r="Q154" s="29"/>
      <c r="R154" s="29"/>
      <c r="S154" s="29"/>
      <c r="T154" s="29"/>
      <c r="U154" s="29"/>
      <c r="V154" s="29"/>
      <c r="W154" s="29"/>
      <c r="X154" s="29"/>
      <c r="Y154" s="29"/>
      <c r="Z154" s="29"/>
    </row>
    <row r="155" ht="18.75" customHeight="1">
      <c r="A155" s="37"/>
      <c r="B155" s="38"/>
      <c r="C155" s="29"/>
      <c r="D155" s="39"/>
      <c r="E155" s="29"/>
      <c r="F155" s="40"/>
      <c r="G155" s="40"/>
      <c r="H155" s="40"/>
      <c r="I155" s="29"/>
      <c r="J155" s="29"/>
      <c r="K155" s="29"/>
      <c r="L155" s="29"/>
      <c r="M155" s="29"/>
      <c r="N155" s="29"/>
      <c r="O155" s="29"/>
      <c r="P155" s="29"/>
      <c r="Q155" s="29"/>
      <c r="R155" s="29"/>
      <c r="S155" s="29"/>
      <c r="T155" s="29"/>
      <c r="U155" s="29"/>
      <c r="V155" s="29"/>
      <c r="W155" s="29"/>
      <c r="X155" s="29"/>
      <c r="Y155" s="29"/>
      <c r="Z155" s="29"/>
    </row>
    <row r="156" ht="18.75" customHeight="1">
      <c r="A156" s="37"/>
      <c r="B156" s="38"/>
      <c r="C156" s="29"/>
      <c r="D156" s="39"/>
      <c r="E156" s="29"/>
      <c r="F156" s="40"/>
      <c r="G156" s="40"/>
      <c r="H156" s="40"/>
      <c r="I156" s="29"/>
      <c r="J156" s="29"/>
      <c r="K156" s="29"/>
      <c r="L156" s="29"/>
      <c r="M156" s="29"/>
      <c r="N156" s="29"/>
      <c r="O156" s="29"/>
      <c r="P156" s="29"/>
      <c r="Q156" s="29"/>
      <c r="R156" s="29"/>
      <c r="S156" s="29"/>
      <c r="T156" s="29"/>
      <c r="U156" s="29"/>
      <c r="V156" s="29"/>
      <c r="W156" s="29"/>
      <c r="X156" s="29"/>
      <c r="Y156" s="29"/>
      <c r="Z156" s="29"/>
    </row>
    <row r="157" ht="18.75" customHeight="1">
      <c r="A157" s="37"/>
      <c r="B157" s="38"/>
      <c r="C157" s="29"/>
      <c r="D157" s="39"/>
      <c r="E157" s="29"/>
      <c r="F157" s="40"/>
      <c r="G157" s="40"/>
      <c r="H157" s="40"/>
      <c r="I157" s="29"/>
      <c r="J157" s="29"/>
      <c r="K157" s="29"/>
      <c r="L157" s="29"/>
      <c r="M157" s="29"/>
      <c r="N157" s="29"/>
      <c r="O157" s="29"/>
      <c r="P157" s="29"/>
      <c r="Q157" s="29"/>
      <c r="R157" s="29"/>
      <c r="S157" s="29"/>
      <c r="T157" s="29"/>
      <c r="U157" s="29"/>
      <c r="V157" s="29"/>
      <c r="W157" s="29"/>
      <c r="X157" s="29"/>
      <c r="Y157" s="29"/>
      <c r="Z157" s="29"/>
    </row>
    <row r="158" ht="18.75" customHeight="1">
      <c r="A158" s="37"/>
      <c r="B158" s="38"/>
      <c r="C158" s="29"/>
      <c r="D158" s="39"/>
      <c r="E158" s="29"/>
      <c r="F158" s="40"/>
      <c r="G158" s="40"/>
      <c r="H158" s="40"/>
      <c r="I158" s="29"/>
      <c r="J158" s="29"/>
      <c r="K158" s="29"/>
      <c r="L158" s="29"/>
      <c r="M158" s="29"/>
      <c r="N158" s="29"/>
      <c r="O158" s="29"/>
      <c r="P158" s="29"/>
      <c r="Q158" s="29"/>
      <c r="R158" s="29"/>
      <c r="S158" s="29"/>
      <c r="T158" s="29"/>
      <c r="U158" s="29"/>
      <c r="V158" s="29"/>
      <c r="W158" s="29"/>
      <c r="X158" s="29"/>
      <c r="Y158" s="29"/>
      <c r="Z158" s="29"/>
    </row>
    <row r="159" ht="18.75" customHeight="1">
      <c r="A159" s="37"/>
      <c r="B159" s="38"/>
      <c r="C159" s="29"/>
      <c r="D159" s="39"/>
      <c r="E159" s="29"/>
      <c r="F159" s="40"/>
      <c r="G159" s="40"/>
      <c r="H159" s="40"/>
      <c r="I159" s="29"/>
      <c r="J159" s="29"/>
      <c r="K159" s="29"/>
      <c r="L159" s="29"/>
      <c r="M159" s="29"/>
      <c r="N159" s="29"/>
      <c r="O159" s="29"/>
      <c r="P159" s="29"/>
      <c r="Q159" s="29"/>
      <c r="R159" s="29"/>
      <c r="S159" s="29"/>
      <c r="T159" s="29"/>
      <c r="U159" s="29"/>
      <c r="V159" s="29"/>
      <c r="W159" s="29"/>
      <c r="X159" s="29"/>
      <c r="Y159" s="29"/>
      <c r="Z159" s="29"/>
    </row>
    <row r="160" ht="18.75" customHeight="1">
      <c r="A160" s="37"/>
      <c r="B160" s="38"/>
      <c r="C160" s="29"/>
      <c r="D160" s="39"/>
      <c r="E160" s="29"/>
      <c r="F160" s="40"/>
      <c r="G160" s="40"/>
      <c r="H160" s="40"/>
      <c r="I160" s="29"/>
      <c r="J160" s="29"/>
      <c r="K160" s="29"/>
      <c r="L160" s="29"/>
      <c r="M160" s="29"/>
      <c r="N160" s="29"/>
      <c r="O160" s="29"/>
      <c r="P160" s="29"/>
      <c r="Q160" s="29"/>
      <c r="R160" s="29"/>
      <c r="S160" s="29"/>
      <c r="T160" s="29"/>
      <c r="U160" s="29"/>
      <c r="V160" s="29"/>
      <c r="W160" s="29"/>
      <c r="X160" s="29"/>
      <c r="Y160" s="29"/>
      <c r="Z160" s="29"/>
    </row>
    <row r="161" ht="18.75" customHeight="1">
      <c r="A161" s="37"/>
      <c r="B161" s="38"/>
      <c r="C161" s="29"/>
      <c r="D161" s="39"/>
      <c r="E161" s="29"/>
      <c r="F161" s="40"/>
      <c r="G161" s="40"/>
      <c r="H161" s="40"/>
      <c r="I161" s="29"/>
      <c r="J161" s="29"/>
      <c r="K161" s="29"/>
      <c r="L161" s="29"/>
      <c r="M161" s="29"/>
      <c r="N161" s="29"/>
      <c r="O161" s="29"/>
      <c r="P161" s="29"/>
      <c r="Q161" s="29"/>
      <c r="R161" s="29"/>
      <c r="S161" s="29"/>
      <c r="T161" s="29"/>
      <c r="U161" s="29"/>
      <c r="V161" s="29"/>
      <c r="W161" s="29"/>
      <c r="X161" s="29"/>
      <c r="Y161" s="29"/>
      <c r="Z161" s="29"/>
    </row>
    <row r="162" ht="18.75" customHeight="1">
      <c r="A162" s="37"/>
      <c r="B162" s="38"/>
      <c r="C162" s="29"/>
      <c r="D162" s="39"/>
      <c r="E162" s="29"/>
      <c r="F162" s="40"/>
      <c r="G162" s="40"/>
      <c r="H162" s="40"/>
      <c r="I162" s="29"/>
      <c r="J162" s="29"/>
      <c r="K162" s="29"/>
      <c r="L162" s="29"/>
      <c r="M162" s="29"/>
      <c r="N162" s="29"/>
      <c r="O162" s="29"/>
      <c r="P162" s="29"/>
      <c r="Q162" s="29"/>
      <c r="R162" s="29"/>
      <c r="S162" s="29"/>
      <c r="T162" s="29"/>
      <c r="U162" s="29"/>
      <c r="V162" s="29"/>
      <c r="W162" s="29"/>
      <c r="X162" s="29"/>
      <c r="Y162" s="29"/>
      <c r="Z162" s="29"/>
    </row>
    <row r="163" ht="18.75" customHeight="1">
      <c r="A163" s="37"/>
      <c r="B163" s="38"/>
      <c r="C163" s="29"/>
      <c r="D163" s="39"/>
      <c r="E163" s="29"/>
      <c r="F163" s="40"/>
      <c r="G163" s="40"/>
      <c r="H163" s="40"/>
      <c r="I163" s="29"/>
      <c r="J163" s="29"/>
      <c r="K163" s="29"/>
      <c r="L163" s="29"/>
      <c r="M163" s="29"/>
      <c r="N163" s="29"/>
      <c r="O163" s="29"/>
      <c r="P163" s="29"/>
      <c r="Q163" s="29"/>
      <c r="R163" s="29"/>
      <c r="S163" s="29"/>
      <c r="T163" s="29"/>
      <c r="U163" s="29"/>
      <c r="V163" s="29"/>
      <c r="W163" s="29"/>
      <c r="X163" s="29"/>
      <c r="Y163" s="29"/>
      <c r="Z163" s="29"/>
    </row>
    <row r="164" ht="18.75" customHeight="1">
      <c r="A164" s="37"/>
      <c r="B164" s="38"/>
      <c r="C164" s="29"/>
      <c r="D164" s="39"/>
      <c r="E164" s="29"/>
      <c r="F164" s="40"/>
      <c r="G164" s="40"/>
      <c r="H164" s="40"/>
      <c r="I164" s="29"/>
      <c r="J164" s="29"/>
      <c r="K164" s="29"/>
      <c r="L164" s="29"/>
      <c r="M164" s="29"/>
      <c r="N164" s="29"/>
      <c r="O164" s="29"/>
      <c r="P164" s="29"/>
      <c r="Q164" s="29"/>
      <c r="R164" s="29"/>
      <c r="S164" s="29"/>
      <c r="T164" s="29"/>
      <c r="U164" s="29"/>
      <c r="V164" s="29"/>
      <c r="W164" s="29"/>
      <c r="X164" s="29"/>
      <c r="Y164" s="29"/>
      <c r="Z164" s="29"/>
    </row>
    <row r="165" ht="18.75" customHeight="1">
      <c r="A165" s="37"/>
      <c r="B165" s="38"/>
      <c r="C165" s="29"/>
      <c r="D165" s="39"/>
      <c r="E165" s="29"/>
      <c r="F165" s="40"/>
      <c r="G165" s="40"/>
      <c r="H165" s="40"/>
      <c r="I165" s="29"/>
      <c r="J165" s="29"/>
      <c r="K165" s="29"/>
      <c r="L165" s="29"/>
      <c r="M165" s="29"/>
      <c r="N165" s="29"/>
      <c r="O165" s="29"/>
      <c r="P165" s="29"/>
      <c r="Q165" s="29"/>
      <c r="R165" s="29"/>
      <c r="S165" s="29"/>
      <c r="T165" s="29"/>
      <c r="U165" s="29"/>
      <c r="V165" s="29"/>
      <c r="W165" s="29"/>
      <c r="X165" s="29"/>
      <c r="Y165" s="29"/>
      <c r="Z165" s="29"/>
    </row>
    <row r="166" ht="18.75" customHeight="1">
      <c r="A166" s="37"/>
      <c r="B166" s="38"/>
      <c r="C166" s="29"/>
      <c r="D166" s="39"/>
      <c r="E166" s="29"/>
      <c r="F166" s="40"/>
      <c r="G166" s="40"/>
      <c r="H166" s="40"/>
      <c r="I166" s="29"/>
      <c r="J166" s="29"/>
      <c r="K166" s="29"/>
      <c r="L166" s="29"/>
      <c r="M166" s="29"/>
      <c r="N166" s="29"/>
      <c r="O166" s="29"/>
      <c r="P166" s="29"/>
      <c r="Q166" s="29"/>
      <c r="R166" s="29"/>
      <c r="S166" s="29"/>
      <c r="T166" s="29"/>
      <c r="U166" s="29"/>
      <c r="V166" s="29"/>
      <c r="W166" s="29"/>
      <c r="X166" s="29"/>
      <c r="Y166" s="29"/>
      <c r="Z166" s="29"/>
    </row>
    <row r="167" ht="18.75" customHeight="1">
      <c r="A167" s="37"/>
      <c r="B167" s="38"/>
      <c r="C167" s="29"/>
      <c r="D167" s="39"/>
      <c r="E167" s="29"/>
      <c r="F167" s="40"/>
      <c r="G167" s="40"/>
      <c r="H167" s="40"/>
      <c r="I167" s="29"/>
      <c r="J167" s="29"/>
      <c r="K167" s="29"/>
      <c r="L167" s="29"/>
      <c r="M167" s="29"/>
      <c r="N167" s="29"/>
      <c r="O167" s="29"/>
      <c r="P167" s="29"/>
      <c r="Q167" s="29"/>
      <c r="R167" s="29"/>
      <c r="S167" s="29"/>
      <c r="T167" s="29"/>
      <c r="U167" s="29"/>
      <c r="V167" s="29"/>
      <c r="W167" s="29"/>
      <c r="X167" s="29"/>
      <c r="Y167" s="29"/>
      <c r="Z167" s="29"/>
    </row>
    <row r="168" ht="18.75" customHeight="1">
      <c r="A168" s="37"/>
      <c r="B168" s="38"/>
      <c r="C168" s="29"/>
      <c r="D168" s="39"/>
      <c r="E168" s="29"/>
      <c r="F168" s="40"/>
      <c r="G168" s="40"/>
      <c r="H168" s="40"/>
      <c r="I168" s="29"/>
      <c r="J168" s="29"/>
      <c r="K168" s="29"/>
      <c r="L168" s="29"/>
      <c r="M168" s="29"/>
      <c r="N168" s="29"/>
      <c r="O168" s="29"/>
      <c r="P168" s="29"/>
      <c r="Q168" s="29"/>
      <c r="R168" s="29"/>
      <c r="S168" s="29"/>
      <c r="T168" s="29"/>
      <c r="U168" s="29"/>
      <c r="V168" s="29"/>
      <c r="W168" s="29"/>
      <c r="X168" s="29"/>
      <c r="Y168" s="29"/>
      <c r="Z168" s="29"/>
    </row>
    <row r="169" ht="18.75" customHeight="1">
      <c r="A169" s="37"/>
      <c r="B169" s="38"/>
      <c r="C169" s="29"/>
      <c r="D169" s="39"/>
      <c r="E169" s="29"/>
      <c r="F169" s="40"/>
      <c r="G169" s="40"/>
      <c r="H169" s="40"/>
      <c r="I169" s="29"/>
      <c r="J169" s="29"/>
      <c r="K169" s="29"/>
      <c r="L169" s="29"/>
      <c r="M169" s="29"/>
      <c r="N169" s="29"/>
      <c r="O169" s="29"/>
      <c r="P169" s="29"/>
      <c r="Q169" s="29"/>
      <c r="R169" s="29"/>
      <c r="S169" s="29"/>
      <c r="T169" s="29"/>
      <c r="U169" s="29"/>
      <c r="V169" s="29"/>
      <c r="W169" s="29"/>
      <c r="X169" s="29"/>
      <c r="Y169" s="29"/>
      <c r="Z169" s="29"/>
    </row>
    <row r="170" ht="18.75" customHeight="1">
      <c r="A170" s="37"/>
      <c r="B170" s="38"/>
      <c r="C170" s="29"/>
      <c r="D170" s="39"/>
      <c r="E170" s="29"/>
      <c r="F170" s="40"/>
      <c r="G170" s="40"/>
      <c r="H170" s="40"/>
      <c r="I170" s="29"/>
      <c r="J170" s="29"/>
      <c r="K170" s="29"/>
      <c r="L170" s="29"/>
      <c r="M170" s="29"/>
      <c r="N170" s="29"/>
      <c r="O170" s="29"/>
      <c r="P170" s="29"/>
      <c r="Q170" s="29"/>
      <c r="R170" s="29"/>
      <c r="S170" s="29"/>
      <c r="T170" s="29"/>
      <c r="U170" s="29"/>
      <c r="V170" s="29"/>
      <c r="W170" s="29"/>
      <c r="X170" s="29"/>
      <c r="Y170" s="29"/>
      <c r="Z170" s="29"/>
    </row>
    <row r="171" ht="18.75" customHeight="1">
      <c r="A171" s="37"/>
      <c r="B171" s="38"/>
      <c r="C171" s="29"/>
      <c r="D171" s="39"/>
      <c r="E171" s="29"/>
      <c r="F171" s="40"/>
      <c r="G171" s="40"/>
      <c r="H171" s="40"/>
      <c r="I171" s="29"/>
      <c r="J171" s="29"/>
      <c r="K171" s="29"/>
      <c r="L171" s="29"/>
      <c r="M171" s="29"/>
      <c r="N171" s="29"/>
      <c r="O171" s="29"/>
      <c r="P171" s="29"/>
      <c r="Q171" s="29"/>
      <c r="R171" s="29"/>
      <c r="S171" s="29"/>
      <c r="T171" s="29"/>
      <c r="U171" s="29"/>
      <c r="V171" s="29"/>
      <c r="W171" s="29"/>
      <c r="X171" s="29"/>
      <c r="Y171" s="29"/>
      <c r="Z171" s="29"/>
    </row>
    <row r="172" ht="18.75" customHeight="1">
      <c r="A172" s="37"/>
      <c r="B172" s="38"/>
      <c r="C172" s="29"/>
      <c r="D172" s="39"/>
      <c r="E172" s="29"/>
      <c r="F172" s="40"/>
      <c r="G172" s="40"/>
      <c r="H172" s="40"/>
      <c r="I172" s="29"/>
      <c r="J172" s="29"/>
      <c r="K172" s="29"/>
      <c r="L172" s="29"/>
      <c r="M172" s="29"/>
      <c r="N172" s="29"/>
      <c r="O172" s="29"/>
      <c r="P172" s="29"/>
      <c r="Q172" s="29"/>
      <c r="R172" s="29"/>
      <c r="S172" s="29"/>
      <c r="T172" s="29"/>
      <c r="U172" s="29"/>
      <c r="V172" s="29"/>
      <c r="W172" s="29"/>
      <c r="X172" s="29"/>
      <c r="Y172" s="29"/>
      <c r="Z172" s="29"/>
    </row>
    <row r="173" ht="18.75" customHeight="1">
      <c r="A173" s="37"/>
      <c r="B173" s="38"/>
      <c r="C173" s="29"/>
      <c r="D173" s="39"/>
      <c r="E173" s="29"/>
      <c r="F173" s="40"/>
      <c r="G173" s="40"/>
      <c r="H173" s="40"/>
      <c r="I173" s="29"/>
      <c r="J173" s="29"/>
      <c r="K173" s="29"/>
      <c r="L173" s="29"/>
      <c r="M173" s="29"/>
      <c r="N173" s="29"/>
      <c r="O173" s="29"/>
      <c r="P173" s="29"/>
      <c r="Q173" s="29"/>
      <c r="R173" s="29"/>
      <c r="S173" s="29"/>
      <c r="T173" s="29"/>
      <c r="U173" s="29"/>
      <c r="V173" s="29"/>
      <c r="W173" s="29"/>
      <c r="X173" s="29"/>
      <c r="Y173" s="29"/>
      <c r="Z173" s="29"/>
    </row>
    <row r="174" ht="18.75" customHeight="1">
      <c r="A174" s="37"/>
      <c r="B174" s="38"/>
      <c r="C174" s="29"/>
      <c r="D174" s="39"/>
      <c r="E174" s="29"/>
      <c r="F174" s="40"/>
      <c r="G174" s="40"/>
      <c r="H174" s="40"/>
      <c r="I174" s="29"/>
      <c r="J174" s="29"/>
      <c r="K174" s="29"/>
      <c r="L174" s="29"/>
      <c r="M174" s="29"/>
      <c r="N174" s="29"/>
      <c r="O174" s="29"/>
      <c r="P174" s="29"/>
      <c r="Q174" s="29"/>
      <c r="R174" s="29"/>
      <c r="S174" s="29"/>
      <c r="T174" s="29"/>
      <c r="U174" s="29"/>
      <c r="V174" s="29"/>
      <c r="W174" s="29"/>
      <c r="X174" s="29"/>
      <c r="Y174" s="29"/>
      <c r="Z174" s="29"/>
    </row>
    <row r="175" ht="18.75" customHeight="1">
      <c r="A175" s="37"/>
      <c r="B175" s="38"/>
      <c r="C175" s="29"/>
      <c r="D175" s="39"/>
      <c r="E175" s="29"/>
      <c r="F175" s="40"/>
      <c r="G175" s="40"/>
      <c r="H175" s="40"/>
      <c r="I175" s="29"/>
      <c r="J175" s="29"/>
      <c r="K175" s="29"/>
      <c r="L175" s="29"/>
      <c r="M175" s="29"/>
      <c r="N175" s="29"/>
      <c r="O175" s="29"/>
      <c r="P175" s="29"/>
      <c r="Q175" s="29"/>
      <c r="R175" s="29"/>
      <c r="S175" s="29"/>
      <c r="T175" s="29"/>
      <c r="U175" s="29"/>
      <c r="V175" s="29"/>
      <c r="W175" s="29"/>
      <c r="X175" s="29"/>
      <c r="Y175" s="29"/>
      <c r="Z175" s="29"/>
    </row>
    <row r="176" ht="18.75" customHeight="1">
      <c r="A176" s="37"/>
      <c r="B176" s="38"/>
      <c r="C176" s="29"/>
      <c r="D176" s="39"/>
      <c r="E176" s="29"/>
      <c r="F176" s="40"/>
      <c r="G176" s="40"/>
      <c r="H176" s="40"/>
      <c r="I176" s="29"/>
      <c r="J176" s="29"/>
      <c r="K176" s="29"/>
      <c r="L176" s="29"/>
      <c r="M176" s="29"/>
      <c r="N176" s="29"/>
      <c r="O176" s="29"/>
      <c r="P176" s="29"/>
      <c r="Q176" s="29"/>
      <c r="R176" s="29"/>
      <c r="S176" s="29"/>
      <c r="T176" s="29"/>
      <c r="U176" s="29"/>
      <c r="V176" s="29"/>
      <c r="W176" s="29"/>
      <c r="X176" s="29"/>
      <c r="Y176" s="29"/>
      <c r="Z176" s="29"/>
    </row>
    <row r="177" ht="18.75" customHeight="1">
      <c r="A177" s="37"/>
      <c r="B177" s="38"/>
      <c r="C177" s="29"/>
      <c r="D177" s="39"/>
      <c r="E177" s="29"/>
      <c r="F177" s="40"/>
      <c r="G177" s="40"/>
      <c r="H177" s="40"/>
      <c r="I177" s="29"/>
      <c r="J177" s="29"/>
      <c r="K177" s="29"/>
      <c r="L177" s="29"/>
      <c r="M177" s="29"/>
      <c r="N177" s="29"/>
      <c r="O177" s="29"/>
      <c r="P177" s="29"/>
      <c r="Q177" s="29"/>
      <c r="R177" s="29"/>
      <c r="S177" s="29"/>
      <c r="T177" s="29"/>
      <c r="U177" s="29"/>
      <c r="V177" s="29"/>
      <c r="W177" s="29"/>
      <c r="X177" s="29"/>
      <c r="Y177" s="29"/>
      <c r="Z177" s="29"/>
    </row>
    <row r="178" ht="18.75" customHeight="1">
      <c r="A178" s="37"/>
      <c r="B178" s="38"/>
      <c r="C178" s="29"/>
      <c r="D178" s="39"/>
      <c r="E178" s="29"/>
      <c r="F178" s="40"/>
      <c r="G178" s="40"/>
      <c r="H178" s="40"/>
      <c r="I178" s="29"/>
      <c r="J178" s="29"/>
      <c r="K178" s="29"/>
      <c r="L178" s="29"/>
      <c r="M178" s="29"/>
      <c r="N178" s="29"/>
      <c r="O178" s="29"/>
      <c r="P178" s="29"/>
      <c r="Q178" s="29"/>
      <c r="R178" s="29"/>
      <c r="S178" s="29"/>
      <c r="T178" s="29"/>
      <c r="U178" s="29"/>
      <c r="V178" s="29"/>
      <c r="W178" s="29"/>
      <c r="X178" s="29"/>
      <c r="Y178" s="29"/>
      <c r="Z178" s="29"/>
    </row>
    <row r="179" ht="18.75" customHeight="1">
      <c r="A179" s="37"/>
      <c r="B179" s="38"/>
      <c r="C179" s="29"/>
      <c r="D179" s="39"/>
      <c r="E179" s="29"/>
      <c r="F179" s="40"/>
      <c r="G179" s="40"/>
      <c r="H179" s="40"/>
      <c r="I179" s="29"/>
      <c r="J179" s="29"/>
      <c r="K179" s="29"/>
      <c r="L179" s="29"/>
      <c r="M179" s="29"/>
      <c r="N179" s="29"/>
      <c r="O179" s="29"/>
      <c r="P179" s="29"/>
      <c r="Q179" s="29"/>
      <c r="R179" s="29"/>
      <c r="S179" s="29"/>
      <c r="T179" s="29"/>
      <c r="U179" s="29"/>
      <c r="V179" s="29"/>
      <c r="W179" s="29"/>
      <c r="X179" s="29"/>
      <c r="Y179" s="29"/>
      <c r="Z179" s="29"/>
    </row>
    <row r="180" ht="18.75" customHeight="1">
      <c r="A180" s="37"/>
      <c r="B180" s="38"/>
      <c r="C180" s="29"/>
      <c r="D180" s="39"/>
      <c r="E180" s="29"/>
      <c r="F180" s="40"/>
      <c r="G180" s="40"/>
      <c r="H180" s="40"/>
      <c r="I180" s="29"/>
      <c r="J180" s="29"/>
      <c r="K180" s="29"/>
      <c r="L180" s="29"/>
      <c r="M180" s="29"/>
      <c r="N180" s="29"/>
      <c r="O180" s="29"/>
      <c r="P180" s="29"/>
      <c r="Q180" s="29"/>
      <c r="R180" s="29"/>
      <c r="S180" s="29"/>
      <c r="T180" s="29"/>
      <c r="U180" s="29"/>
      <c r="V180" s="29"/>
      <c r="W180" s="29"/>
      <c r="X180" s="29"/>
      <c r="Y180" s="29"/>
      <c r="Z180" s="29"/>
    </row>
    <row r="181" ht="18.75" customHeight="1">
      <c r="A181" s="37"/>
      <c r="B181" s="38"/>
      <c r="C181" s="29"/>
      <c r="D181" s="39"/>
      <c r="E181" s="29"/>
      <c r="F181" s="40"/>
      <c r="G181" s="40"/>
      <c r="H181" s="40"/>
      <c r="I181" s="29"/>
      <c r="J181" s="29"/>
      <c r="K181" s="29"/>
      <c r="L181" s="29"/>
      <c r="M181" s="29"/>
      <c r="N181" s="29"/>
      <c r="O181" s="29"/>
      <c r="P181" s="29"/>
      <c r="Q181" s="29"/>
      <c r="R181" s="29"/>
      <c r="S181" s="29"/>
      <c r="T181" s="29"/>
      <c r="U181" s="29"/>
      <c r="V181" s="29"/>
      <c r="W181" s="29"/>
      <c r="X181" s="29"/>
      <c r="Y181" s="29"/>
      <c r="Z181" s="29"/>
    </row>
    <row r="182" ht="18.75" customHeight="1">
      <c r="A182" s="37"/>
      <c r="B182" s="38"/>
      <c r="C182" s="29"/>
      <c r="D182" s="39"/>
      <c r="E182" s="29"/>
      <c r="F182" s="40"/>
      <c r="G182" s="40"/>
      <c r="H182" s="40"/>
      <c r="I182" s="29"/>
      <c r="J182" s="29"/>
      <c r="K182" s="29"/>
      <c r="L182" s="29"/>
      <c r="M182" s="29"/>
      <c r="N182" s="29"/>
      <c r="O182" s="29"/>
      <c r="P182" s="29"/>
      <c r="Q182" s="29"/>
      <c r="R182" s="29"/>
      <c r="S182" s="29"/>
      <c r="T182" s="29"/>
      <c r="U182" s="29"/>
      <c r="V182" s="29"/>
      <c r="W182" s="29"/>
      <c r="X182" s="29"/>
      <c r="Y182" s="29"/>
      <c r="Z182" s="29"/>
    </row>
    <row r="183" ht="18.75" customHeight="1">
      <c r="A183" s="37"/>
      <c r="B183" s="38"/>
      <c r="C183" s="29"/>
      <c r="D183" s="39"/>
      <c r="E183" s="29"/>
      <c r="F183" s="40"/>
      <c r="G183" s="40"/>
      <c r="H183" s="40"/>
      <c r="I183" s="29"/>
      <c r="J183" s="29"/>
      <c r="K183" s="29"/>
      <c r="L183" s="29"/>
      <c r="M183" s="29"/>
      <c r="N183" s="29"/>
      <c r="O183" s="29"/>
      <c r="P183" s="29"/>
      <c r="Q183" s="29"/>
      <c r="R183" s="29"/>
      <c r="S183" s="29"/>
      <c r="T183" s="29"/>
      <c r="U183" s="29"/>
      <c r="V183" s="29"/>
      <c r="W183" s="29"/>
      <c r="X183" s="29"/>
      <c r="Y183" s="29"/>
      <c r="Z183" s="29"/>
    </row>
    <row r="184" ht="18.75" customHeight="1">
      <c r="A184" s="37"/>
      <c r="B184" s="38"/>
      <c r="C184" s="29"/>
      <c r="D184" s="39"/>
      <c r="E184" s="29"/>
      <c r="F184" s="40"/>
      <c r="G184" s="40"/>
      <c r="H184" s="40"/>
      <c r="I184" s="29"/>
      <c r="J184" s="29"/>
      <c r="K184" s="29"/>
      <c r="L184" s="29"/>
      <c r="M184" s="29"/>
      <c r="N184" s="29"/>
      <c r="O184" s="29"/>
      <c r="P184" s="29"/>
      <c r="Q184" s="29"/>
      <c r="R184" s="29"/>
      <c r="S184" s="29"/>
      <c r="T184" s="29"/>
      <c r="U184" s="29"/>
      <c r="V184" s="29"/>
      <c r="W184" s="29"/>
      <c r="X184" s="29"/>
      <c r="Y184" s="29"/>
      <c r="Z184" s="29"/>
    </row>
    <row r="185" ht="18.75" customHeight="1">
      <c r="A185" s="37"/>
      <c r="B185" s="38"/>
      <c r="C185" s="29"/>
      <c r="D185" s="39"/>
      <c r="E185" s="29"/>
      <c r="F185" s="40"/>
      <c r="G185" s="40"/>
      <c r="H185" s="40"/>
      <c r="I185" s="29"/>
      <c r="J185" s="29"/>
      <c r="K185" s="29"/>
      <c r="L185" s="29"/>
      <c r="M185" s="29"/>
      <c r="N185" s="29"/>
      <c r="O185" s="29"/>
      <c r="P185" s="29"/>
      <c r="Q185" s="29"/>
      <c r="R185" s="29"/>
      <c r="S185" s="29"/>
      <c r="T185" s="29"/>
      <c r="U185" s="29"/>
      <c r="V185" s="29"/>
      <c r="W185" s="29"/>
      <c r="X185" s="29"/>
      <c r="Y185" s="29"/>
      <c r="Z185" s="29"/>
    </row>
    <row r="186" ht="18.75" customHeight="1">
      <c r="A186" s="37"/>
      <c r="B186" s="38"/>
      <c r="C186" s="29"/>
      <c r="D186" s="39"/>
      <c r="E186" s="29"/>
      <c r="F186" s="40"/>
      <c r="G186" s="40"/>
      <c r="H186" s="40"/>
      <c r="I186" s="29"/>
      <c r="J186" s="29"/>
      <c r="K186" s="29"/>
      <c r="L186" s="29"/>
      <c r="M186" s="29"/>
      <c r="N186" s="29"/>
      <c r="O186" s="29"/>
      <c r="P186" s="29"/>
      <c r="Q186" s="29"/>
      <c r="R186" s="29"/>
      <c r="S186" s="29"/>
      <c r="T186" s="29"/>
      <c r="U186" s="29"/>
      <c r="V186" s="29"/>
      <c r="W186" s="29"/>
      <c r="X186" s="29"/>
      <c r="Y186" s="29"/>
      <c r="Z186" s="29"/>
    </row>
    <row r="187" ht="18.75" customHeight="1">
      <c r="A187" s="37"/>
      <c r="B187" s="38"/>
      <c r="C187" s="29"/>
      <c r="D187" s="39"/>
      <c r="E187" s="29"/>
      <c r="F187" s="40"/>
      <c r="G187" s="40"/>
      <c r="H187" s="40"/>
      <c r="I187" s="29"/>
      <c r="J187" s="29"/>
      <c r="K187" s="29"/>
      <c r="L187" s="29"/>
      <c r="M187" s="29"/>
      <c r="N187" s="29"/>
      <c r="O187" s="29"/>
      <c r="P187" s="29"/>
      <c r="Q187" s="29"/>
      <c r="R187" s="29"/>
      <c r="S187" s="29"/>
      <c r="T187" s="29"/>
      <c r="U187" s="29"/>
      <c r="V187" s="29"/>
      <c r="W187" s="29"/>
      <c r="X187" s="29"/>
      <c r="Y187" s="29"/>
      <c r="Z187" s="29"/>
    </row>
    <row r="188" ht="18.75" customHeight="1">
      <c r="A188" s="37"/>
      <c r="B188" s="38"/>
      <c r="C188" s="29"/>
      <c r="D188" s="39"/>
      <c r="E188" s="29"/>
      <c r="F188" s="40"/>
      <c r="G188" s="40"/>
      <c r="H188" s="40"/>
      <c r="I188" s="29"/>
      <c r="J188" s="29"/>
      <c r="K188" s="29"/>
      <c r="L188" s="29"/>
      <c r="M188" s="29"/>
      <c r="N188" s="29"/>
      <c r="O188" s="29"/>
      <c r="P188" s="29"/>
      <c r="Q188" s="29"/>
      <c r="R188" s="29"/>
      <c r="S188" s="29"/>
      <c r="T188" s="29"/>
      <c r="U188" s="29"/>
      <c r="V188" s="29"/>
      <c r="W188" s="29"/>
      <c r="X188" s="29"/>
      <c r="Y188" s="29"/>
      <c r="Z188" s="29"/>
    </row>
    <row r="189" ht="18.75" customHeight="1">
      <c r="A189" s="37"/>
      <c r="B189" s="38"/>
      <c r="C189" s="29"/>
      <c r="D189" s="39"/>
      <c r="E189" s="29"/>
      <c r="F189" s="40"/>
      <c r="G189" s="40"/>
      <c r="H189" s="40"/>
      <c r="I189" s="29"/>
      <c r="J189" s="29"/>
      <c r="K189" s="29"/>
      <c r="L189" s="29"/>
      <c r="M189" s="29"/>
      <c r="N189" s="29"/>
      <c r="O189" s="29"/>
      <c r="P189" s="29"/>
      <c r="Q189" s="29"/>
      <c r="R189" s="29"/>
      <c r="S189" s="29"/>
      <c r="T189" s="29"/>
      <c r="U189" s="29"/>
      <c r="V189" s="29"/>
      <c r="W189" s="29"/>
      <c r="X189" s="29"/>
      <c r="Y189" s="29"/>
      <c r="Z189" s="29"/>
    </row>
    <row r="190" ht="18.75" customHeight="1">
      <c r="A190" s="37"/>
      <c r="B190" s="38"/>
      <c r="C190" s="29"/>
      <c r="D190" s="39"/>
      <c r="E190" s="29"/>
      <c r="F190" s="40"/>
      <c r="G190" s="40"/>
      <c r="H190" s="40"/>
      <c r="I190" s="29"/>
      <c r="J190" s="29"/>
      <c r="K190" s="29"/>
      <c r="L190" s="29"/>
      <c r="M190" s="29"/>
      <c r="N190" s="29"/>
      <c r="O190" s="29"/>
      <c r="P190" s="29"/>
      <c r="Q190" s="29"/>
      <c r="R190" s="29"/>
      <c r="S190" s="29"/>
      <c r="T190" s="29"/>
      <c r="U190" s="29"/>
      <c r="V190" s="29"/>
      <c r="W190" s="29"/>
      <c r="X190" s="29"/>
      <c r="Y190" s="29"/>
      <c r="Z190" s="29"/>
    </row>
    <row r="191" ht="18.75" customHeight="1">
      <c r="A191" s="37"/>
      <c r="B191" s="38"/>
      <c r="C191" s="29"/>
      <c r="D191" s="39"/>
      <c r="E191" s="29"/>
      <c r="F191" s="40"/>
      <c r="G191" s="40"/>
      <c r="H191" s="40"/>
      <c r="I191" s="29"/>
      <c r="J191" s="29"/>
      <c r="K191" s="29"/>
      <c r="L191" s="29"/>
      <c r="M191" s="29"/>
      <c r="N191" s="29"/>
      <c r="O191" s="29"/>
      <c r="P191" s="29"/>
      <c r="Q191" s="29"/>
      <c r="R191" s="29"/>
      <c r="S191" s="29"/>
      <c r="T191" s="29"/>
      <c r="U191" s="29"/>
      <c r="V191" s="29"/>
      <c r="W191" s="29"/>
      <c r="X191" s="29"/>
      <c r="Y191" s="29"/>
      <c r="Z191" s="29"/>
    </row>
    <row r="192" ht="18.75" customHeight="1">
      <c r="A192" s="37"/>
      <c r="B192" s="38"/>
      <c r="C192" s="29"/>
      <c r="D192" s="39"/>
      <c r="E192" s="29"/>
      <c r="F192" s="40"/>
      <c r="G192" s="40"/>
      <c r="H192" s="40"/>
      <c r="I192" s="29"/>
      <c r="J192" s="29"/>
      <c r="K192" s="29"/>
      <c r="L192" s="29"/>
      <c r="M192" s="29"/>
      <c r="N192" s="29"/>
      <c r="O192" s="29"/>
      <c r="P192" s="29"/>
      <c r="Q192" s="29"/>
      <c r="R192" s="29"/>
      <c r="S192" s="29"/>
      <c r="T192" s="29"/>
      <c r="U192" s="29"/>
      <c r="V192" s="29"/>
      <c r="W192" s="29"/>
      <c r="X192" s="29"/>
      <c r="Y192" s="29"/>
      <c r="Z192" s="29"/>
    </row>
    <row r="193" ht="18.75" customHeight="1">
      <c r="A193" s="37"/>
      <c r="B193" s="38"/>
      <c r="C193" s="29"/>
      <c r="D193" s="39"/>
      <c r="E193" s="29"/>
      <c r="F193" s="40"/>
      <c r="G193" s="40"/>
      <c r="H193" s="40"/>
      <c r="I193" s="29"/>
      <c r="J193" s="29"/>
      <c r="K193" s="29"/>
      <c r="L193" s="29"/>
      <c r="M193" s="29"/>
      <c r="N193" s="29"/>
      <c r="O193" s="29"/>
      <c r="P193" s="29"/>
      <c r="Q193" s="29"/>
      <c r="R193" s="29"/>
      <c r="S193" s="29"/>
      <c r="T193" s="29"/>
      <c r="U193" s="29"/>
      <c r="V193" s="29"/>
      <c r="W193" s="29"/>
      <c r="X193" s="29"/>
      <c r="Y193" s="29"/>
      <c r="Z193" s="29"/>
    </row>
    <row r="194" ht="18.75" customHeight="1">
      <c r="A194" s="37"/>
      <c r="B194" s="38"/>
      <c r="C194" s="29"/>
      <c r="D194" s="39"/>
      <c r="E194" s="29"/>
      <c r="F194" s="40"/>
      <c r="G194" s="40"/>
      <c r="H194" s="40"/>
      <c r="I194" s="29"/>
      <c r="J194" s="29"/>
      <c r="K194" s="29"/>
      <c r="L194" s="29"/>
      <c r="M194" s="29"/>
      <c r="N194" s="29"/>
      <c r="O194" s="29"/>
      <c r="P194" s="29"/>
      <c r="Q194" s="29"/>
      <c r="R194" s="29"/>
      <c r="S194" s="29"/>
      <c r="T194" s="29"/>
      <c r="U194" s="29"/>
      <c r="V194" s="29"/>
      <c r="W194" s="29"/>
      <c r="X194" s="29"/>
      <c r="Y194" s="29"/>
      <c r="Z194" s="29"/>
    </row>
    <row r="195" ht="18.75" customHeight="1">
      <c r="A195" s="37"/>
      <c r="B195" s="38"/>
      <c r="C195" s="29"/>
      <c r="D195" s="39"/>
      <c r="E195" s="29"/>
      <c r="F195" s="40"/>
      <c r="G195" s="40"/>
      <c r="H195" s="40"/>
      <c r="I195" s="29"/>
      <c r="J195" s="29"/>
      <c r="K195" s="29"/>
      <c r="L195" s="29"/>
      <c r="M195" s="29"/>
      <c r="N195" s="29"/>
      <c r="O195" s="29"/>
      <c r="P195" s="29"/>
      <c r="Q195" s="29"/>
      <c r="R195" s="29"/>
      <c r="S195" s="29"/>
      <c r="T195" s="29"/>
      <c r="U195" s="29"/>
      <c r="V195" s="29"/>
      <c r="W195" s="29"/>
      <c r="X195" s="29"/>
      <c r="Y195" s="29"/>
      <c r="Z195" s="29"/>
    </row>
    <row r="196" ht="18.75" customHeight="1">
      <c r="A196" s="37"/>
      <c r="B196" s="38"/>
      <c r="C196" s="29"/>
      <c r="D196" s="39"/>
      <c r="E196" s="29"/>
      <c r="F196" s="40"/>
      <c r="G196" s="40"/>
      <c r="H196" s="40"/>
      <c r="I196" s="29"/>
      <c r="J196" s="29"/>
      <c r="K196" s="29"/>
      <c r="L196" s="29"/>
      <c r="M196" s="29"/>
      <c r="N196" s="29"/>
      <c r="O196" s="29"/>
      <c r="P196" s="29"/>
      <c r="Q196" s="29"/>
      <c r="R196" s="29"/>
      <c r="S196" s="29"/>
      <c r="T196" s="29"/>
      <c r="U196" s="29"/>
      <c r="V196" s="29"/>
      <c r="W196" s="29"/>
      <c r="X196" s="29"/>
      <c r="Y196" s="29"/>
      <c r="Z196" s="29"/>
    </row>
    <row r="197" ht="18.75" customHeight="1">
      <c r="A197" s="37"/>
      <c r="B197" s="38"/>
      <c r="C197" s="29"/>
      <c r="D197" s="39"/>
      <c r="E197" s="29"/>
      <c r="F197" s="40"/>
      <c r="G197" s="40"/>
      <c r="H197" s="40"/>
      <c r="I197" s="29"/>
      <c r="J197" s="29"/>
      <c r="K197" s="29"/>
      <c r="L197" s="29"/>
      <c r="M197" s="29"/>
      <c r="N197" s="29"/>
      <c r="O197" s="29"/>
      <c r="P197" s="29"/>
      <c r="Q197" s="29"/>
      <c r="R197" s="29"/>
      <c r="S197" s="29"/>
      <c r="T197" s="29"/>
      <c r="U197" s="29"/>
      <c r="V197" s="29"/>
      <c r="W197" s="29"/>
      <c r="X197" s="29"/>
      <c r="Y197" s="29"/>
      <c r="Z197" s="29"/>
    </row>
    <row r="198" ht="18.75" customHeight="1">
      <c r="A198" s="37"/>
      <c r="B198" s="38"/>
      <c r="C198" s="29"/>
      <c r="D198" s="39"/>
      <c r="E198" s="29"/>
      <c r="F198" s="40"/>
      <c r="G198" s="40"/>
      <c r="H198" s="40"/>
      <c r="I198" s="29"/>
      <c r="J198" s="29"/>
      <c r="K198" s="29"/>
      <c r="L198" s="29"/>
      <c r="M198" s="29"/>
      <c r="N198" s="29"/>
      <c r="O198" s="29"/>
      <c r="P198" s="29"/>
      <c r="Q198" s="29"/>
      <c r="R198" s="29"/>
      <c r="S198" s="29"/>
      <c r="T198" s="29"/>
      <c r="U198" s="29"/>
      <c r="V198" s="29"/>
      <c r="W198" s="29"/>
      <c r="X198" s="29"/>
      <c r="Y198" s="29"/>
      <c r="Z198" s="29"/>
    </row>
    <row r="199" ht="18.75" customHeight="1">
      <c r="A199" s="37"/>
      <c r="B199" s="38"/>
      <c r="C199" s="29"/>
      <c r="D199" s="39"/>
      <c r="E199" s="29"/>
      <c r="F199" s="40"/>
      <c r="G199" s="40"/>
      <c r="H199" s="40"/>
      <c r="I199" s="29"/>
      <c r="J199" s="29"/>
      <c r="K199" s="29"/>
      <c r="L199" s="29"/>
      <c r="M199" s="29"/>
      <c r="N199" s="29"/>
      <c r="O199" s="29"/>
      <c r="P199" s="29"/>
      <c r="Q199" s="29"/>
      <c r="R199" s="29"/>
      <c r="S199" s="29"/>
      <c r="T199" s="29"/>
      <c r="U199" s="29"/>
      <c r="V199" s="29"/>
      <c r="W199" s="29"/>
      <c r="X199" s="29"/>
      <c r="Y199" s="29"/>
      <c r="Z199" s="29"/>
    </row>
    <row r="200" ht="18.75" customHeight="1">
      <c r="A200" s="37"/>
      <c r="B200" s="38"/>
      <c r="C200" s="29"/>
      <c r="D200" s="39"/>
      <c r="E200" s="29"/>
      <c r="F200" s="40"/>
      <c r="G200" s="40"/>
      <c r="H200" s="40"/>
      <c r="I200" s="29"/>
      <c r="J200" s="29"/>
      <c r="K200" s="29"/>
      <c r="L200" s="29"/>
      <c r="M200" s="29"/>
      <c r="N200" s="29"/>
      <c r="O200" s="29"/>
      <c r="P200" s="29"/>
      <c r="Q200" s="29"/>
      <c r="R200" s="29"/>
      <c r="S200" s="29"/>
      <c r="T200" s="29"/>
      <c r="U200" s="29"/>
      <c r="V200" s="29"/>
      <c r="W200" s="29"/>
      <c r="X200" s="29"/>
      <c r="Y200" s="29"/>
      <c r="Z200" s="29"/>
    </row>
    <row r="201" ht="18.75" customHeight="1">
      <c r="A201" s="37"/>
      <c r="B201" s="38"/>
      <c r="C201" s="29"/>
      <c r="D201" s="39"/>
      <c r="E201" s="29"/>
      <c r="F201" s="40"/>
      <c r="G201" s="40"/>
      <c r="H201" s="40"/>
      <c r="I201" s="29"/>
      <c r="J201" s="29"/>
      <c r="K201" s="29"/>
      <c r="L201" s="29"/>
      <c r="M201" s="29"/>
      <c r="N201" s="29"/>
      <c r="O201" s="29"/>
      <c r="P201" s="29"/>
      <c r="Q201" s="29"/>
      <c r="R201" s="29"/>
      <c r="S201" s="29"/>
      <c r="T201" s="29"/>
      <c r="U201" s="29"/>
      <c r="V201" s="29"/>
      <c r="W201" s="29"/>
      <c r="X201" s="29"/>
      <c r="Y201" s="29"/>
      <c r="Z201" s="29"/>
    </row>
    <row r="202" ht="18.75" customHeight="1">
      <c r="A202" s="37"/>
      <c r="B202" s="38"/>
      <c r="C202" s="29"/>
      <c r="D202" s="39"/>
      <c r="E202" s="29"/>
      <c r="F202" s="40"/>
      <c r="G202" s="40"/>
      <c r="H202" s="40"/>
      <c r="I202" s="29"/>
      <c r="J202" s="29"/>
      <c r="K202" s="29"/>
      <c r="L202" s="29"/>
      <c r="M202" s="29"/>
      <c r="N202" s="29"/>
      <c r="O202" s="29"/>
      <c r="P202" s="29"/>
      <c r="Q202" s="29"/>
      <c r="R202" s="29"/>
      <c r="S202" s="29"/>
      <c r="T202" s="29"/>
      <c r="U202" s="29"/>
      <c r="V202" s="29"/>
      <c r="W202" s="29"/>
      <c r="X202" s="29"/>
      <c r="Y202" s="29"/>
      <c r="Z202" s="29"/>
    </row>
    <row r="203" ht="18.75" customHeight="1">
      <c r="A203" s="37"/>
      <c r="B203" s="38"/>
      <c r="C203" s="29"/>
      <c r="D203" s="39"/>
      <c r="E203" s="29"/>
      <c r="F203" s="40"/>
      <c r="G203" s="40"/>
      <c r="H203" s="40"/>
      <c r="I203" s="29"/>
      <c r="J203" s="29"/>
      <c r="K203" s="29"/>
      <c r="L203" s="29"/>
      <c r="M203" s="29"/>
      <c r="N203" s="29"/>
      <c r="O203" s="29"/>
      <c r="P203" s="29"/>
      <c r="Q203" s="29"/>
      <c r="R203" s="29"/>
      <c r="S203" s="29"/>
      <c r="T203" s="29"/>
      <c r="U203" s="29"/>
      <c r="V203" s="29"/>
      <c r="W203" s="29"/>
      <c r="X203" s="29"/>
      <c r="Y203" s="29"/>
      <c r="Z203" s="29"/>
    </row>
    <row r="204" ht="18.75" customHeight="1">
      <c r="A204" s="37"/>
      <c r="B204" s="38"/>
      <c r="C204" s="29"/>
      <c r="D204" s="39"/>
      <c r="E204" s="29"/>
      <c r="F204" s="40"/>
      <c r="G204" s="40"/>
      <c r="H204" s="40"/>
      <c r="I204" s="29"/>
      <c r="J204" s="29"/>
      <c r="K204" s="29"/>
      <c r="L204" s="29"/>
      <c r="M204" s="29"/>
      <c r="N204" s="29"/>
      <c r="O204" s="29"/>
      <c r="P204" s="29"/>
      <c r="Q204" s="29"/>
      <c r="R204" s="29"/>
      <c r="S204" s="29"/>
      <c r="T204" s="29"/>
      <c r="U204" s="29"/>
      <c r="V204" s="29"/>
      <c r="W204" s="29"/>
      <c r="X204" s="29"/>
      <c r="Y204" s="29"/>
      <c r="Z204" s="29"/>
    </row>
    <row r="205" ht="18.75" customHeight="1">
      <c r="A205" s="37"/>
      <c r="B205" s="38"/>
      <c r="C205" s="29"/>
      <c r="D205" s="39"/>
      <c r="E205" s="29"/>
      <c r="F205" s="40"/>
      <c r="G205" s="40"/>
      <c r="H205" s="40"/>
      <c r="I205" s="29"/>
      <c r="J205" s="29"/>
      <c r="K205" s="29"/>
      <c r="L205" s="29"/>
      <c r="M205" s="29"/>
      <c r="N205" s="29"/>
      <c r="O205" s="29"/>
      <c r="P205" s="29"/>
      <c r="Q205" s="29"/>
      <c r="R205" s="29"/>
      <c r="S205" s="29"/>
      <c r="T205" s="29"/>
      <c r="U205" s="29"/>
      <c r="V205" s="29"/>
      <c r="W205" s="29"/>
      <c r="X205" s="29"/>
      <c r="Y205" s="29"/>
      <c r="Z205" s="29"/>
    </row>
    <row r="206" ht="18.75" customHeight="1">
      <c r="A206" s="37"/>
      <c r="B206" s="38"/>
      <c r="C206" s="29"/>
      <c r="D206" s="39"/>
      <c r="E206" s="29"/>
      <c r="F206" s="40"/>
      <c r="G206" s="40"/>
      <c r="H206" s="40"/>
      <c r="I206" s="29"/>
      <c r="J206" s="29"/>
      <c r="K206" s="29"/>
      <c r="L206" s="29"/>
      <c r="M206" s="29"/>
      <c r="N206" s="29"/>
      <c r="O206" s="29"/>
      <c r="P206" s="29"/>
      <c r="Q206" s="29"/>
      <c r="R206" s="29"/>
      <c r="S206" s="29"/>
      <c r="T206" s="29"/>
      <c r="U206" s="29"/>
      <c r="V206" s="29"/>
      <c r="W206" s="29"/>
      <c r="X206" s="29"/>
      <c r="Y206" s="29"/>
      <c r="Z206" s="29"/>
    </row>
    <row r="207" ht="18.75" customHeight="1">
      <c r="A207" s="37"/>
      <c r="B207" s="38"/>
      <c r="C207" s="29"/>
      <c r="D207" s="39"/>
      <c r="E207" s="29"/>
      <c r="F207" s="40"/>
      <c r="G207" s="40"/>
      <c r="H207" s="40"/>
      <c r="I207" s="29"/>
      <c r="J207" s="29"/>
      <c r="K207" s="29"/>
      <c r="L207" s="29"/>
      <c r="M207" s="29"/>
      <c r="N207" s="29"/>
      <c r="O207" s="29"/>
      <c r="P207" s="29"/>
      <c r="Q207" s="29"/>
      <c r="R207" s="29"/>
      <c r="S207" s="29"/>
      <c r="T207" s="29"/>
      <c r="U207" s="29"/>
      <c r="V207" s="29"/>
      <c r="W207" s="29"/>
      <c r="X207" s="29"/>
      <c r="Y207" s="29"/>
      <c r="Z207" s="29"/>
    </row>
    <row r="208" ht="18.75" customHeight="1">
      <c r="A208" s="37"/>
      <c r="B208" s="38"/>
      <c r="C208" s="29"/>
      <c r="D208" s="39"/>
      <c r="E208" s="29"/>
      <c r="F208" s="40"/>
      <c r="G208" s="40"/>
      <c r="H208" s="40"/>
      <c r="I208" s="29"/>
      <c r="J208" s="29"/>
      <c r="K208" s="29"/>
      <c r="L208" s="29"/>
      <c r="M208" s="29"/>
      <c r="N208" s="29"/>
      <c r="O208" s="29"/>
      <c r="P208" s="29"/>
      <c r="Q208" s="29"/>
      <c r="R208" s="29"/>
      <c r="S208" s="29"/>
      <c r="T208" s="29"/>
      <c r="U208" s="29"/>
      <c r="V208" s="29"/>
      <c r="W208" s="29"/>
      <c r="X208" s="29"/>
      <c r="Y208" s="29"/>
      <c r="Z208" s="29"/>
    </row>
    <row r="209" ht="18.75" customHeight="1">
      <c r="A209" s="37"/>
      <c r="B209" s="38"/>
      <c r="C209" s="29"/>
      <c r="D209" s="39"/>
      <c r="E209" s="29"/>
      <c r="F209" s="40"/>
      <c r="G209" s="40"/>
      <c r="H209" s="40"/>
      <c r="I209" s="29"/>
      <c r="J209" s="29"/>
      <c r="K209" s="29"/>
      <c r="L209" s="29"/>
      <c r="M209" s="29"/>
      <c r="N209" s="29"/>
      <c r="O209" s="29"/>
      <c r="P209" s="29"/>
      <c r="Q209" s="29"/>
      <c r="R209" s="29"/>
      <c r="S209" s="29"/>
      <c r="T209" s="29"/>
      <c r="U209" s="29"/>
      <c r="V209" s="29"/>
      <c r="W209" s="29"/>
      <c r="X209" s="29"/>
      <c r="Y209" s="29"/>
      <c r="Z209" s="29"/>
    </row>
    <row r="210" ht="18.75" customHeight="1">
      <c r="A210" s="37"/>
      <c r="B210" s="38"/>
      <c r="C210" s="29"/>
      <c r="D210" s="39"/>
      <c r="E210" s="29"/>
      <c r="F210" s="40"/>
      <c r="G210" s="40"/>
      <c r="H210" s="40"/>
      <c r="I210" s="29"/>
      <c r="J210" s="29"/>
      <c r="K210" s="29"/>
      <c r="L210" s="29"/>
      <c r="M210" s="29"/>
      <c r="N210" s="29"/>
      <c r="O210" s="29"/>
      <c r="P210" s="29"/>
      <c r="Q210" s="29"/>
      <c r="R210" s="29"/>
      <c r="S210" s="29"/>
      <c r="T210" s="29"/>
      <c r="U210" s="29"/>
      <c r="V210" s="29"/>
      <c r="W210" s="29"/>
      <c r="X210" s="29"/>
      <c r="Y210" s="29"/>
      <c r="Z210" s="29"/>
    </row>
    <row r="211" ht="18.75" customHeight="1">
      <c r="A211" s="37"/>
      <c r="B211" s="38"/>
      <c r="C211" s="29"/>
      <c r="D211" s="39"/>
      <c r="E211" s="29"/>
      <c r="F211" s="40"/>
      <c r="G211" s="40"/>
      <c r="H211" s="40"/>
      <c r="I211" s="29"/>
      <c r="J211" s="29"/>
      <c r="K211" s="29"/>
      <c r="L211" s="29"/>
      <c r="M211" s="29"/>
      <c r="N211" s="29"/>
      <c r="O211" s="29"/>
      <c r="P211" s="29"/>
      <c r="Q211" s="29"/>
      <c r="R211" s="29"/>
      <c r="S211" s="29"/>
      <c r="T211" s="29"/>
      <c r="U211" s="29"/>
      <c r="V211" s="29"/>
      <c r="W211" s="29"/>
      <c r="X211" s="29"/>
      <c r="Y211" s="29"/>
      <c r="Z211" s="29"/>
    </row>
    <row r="212" ht="18.75" customHeight="1">
      <c r="A212" s="37"/>
      <c r="B212" s="38"/>
      <c r="C212" s="29"/>
      <c r="D212" s="39"/>
      <c r="E212" s="29"/>
      <c r="F212" s="40"/>
      <c r="G212" s="40"/>
      <c r="H212" s="40"/>
      <c r="I212" s="29"/>
      <c r="J212" s="29"/>
      <c r="K212" s="29"/>
      <c r="L212" s="29"/>
      <c r="M212" s="29"/>
      <c r="N212" s="29"/>
      <c r="O212" s="29"/>
      <c r="P212" s="29"/>
      <c r="Q212" s="29"/>
      <c r="R212" s="29"/>
      <c r="S212" s="29"/>
      <c r="T212" s="29"/>
      <c r="U212" s="29"/>
      <c r="V212" s="29"/>
      <c r="W212" s="29"/>
      <c r="X212" s="29"/>
      <c r="Y212" s="29"/>
      <c r="Z212" s="29"/>
    </row>
    <row r="213" ht="18.75" customHeight="1">
      <c r="A213" s="37"/>
      <c r="B213" s="38"/>
      <c r="C213" s="29"/>
      <c r="D213" s="39"/>
      <c r="E213" s="29"/>
      <c r="F213" s="40"/>
      <c r="G213" s="40"/>
      <c r="H213" s="40"/>
      <c r="I213" s="29"/>
      <c r="J213" s="29"/>
      <c r="K213" s="29"/>
      <c r="L213" s="29"/>
      <c r="M213" s="29"/>
      <c r="N213" s="29"/>
      <c r="O213" s="29"/>
      <c r="P213" s="29"/>
      <c r="Q213" s="29"/>
      <c r="R213" s="29"/>
      <c r="S213" s="29"/>
      <c r="T213" s="29"/>
      <c r="U213" s="29"/>
      <c r="V213" s="29"/>
      <c r="W213" s="29"/>
      <c r="X213" s="29"/>
      <c r="Y213" s="29"/>
      <c r="Z213" s="29"/>
    </row>
    <row r="214" ht="18.75" customHeight="1">
      <c r="A214" s="37"/>
      <c r="B214" s="38"/>
      <c r="C214" s="29"/>
      <c r="D214" s="39"/>
      <c r="E214" s="29"/>
      <c r="F214" s="40"/>
      <c r="G214" s="40"/>
      <c r="H214" s="40"/>
      <c r="I214" s="29"/>
      <c r="J214" s="29"/>
      <c r="K214" s="29"/>
      <c r="L214" s="29"/>
      <c r="M214" s="29"/>
      <c r="N214" s="29"/>
      <c r="O214" s="29"/>
      <c r="P214" s="29"/>
      <c r="Q214" s="29"/>
      <c r="R214" s="29"/>
      <c r="S214" s="29"/>
      <c r="T214" s="29"/>
      <c r="U214" s="29"/>
      <c r="V214" s="29"/>
      <c r="W214" s="29"/>
      <c r="X214" s="29"/>
      <c r="Y214" s="29"/>
      <c r="Z214" s="29"/>
    </row>
    <row r="215" ht="18.75" customHeight="1">
      <c r="A215" s="37"/>
      <c r="B215" s="38"/>
      <c r="C215" s="29"/>
      <c r="D215" s="39"/>
      <c r="E215" s="29"/>
      <c r="F215" s="40"/>
      <c r="G215" s="40"/>
      <c r="H215" s="40"/>
      <c r="I215" s="29"/>
      <c r="J215" s="29"/>
      <c r="K215" s="29"/>
      <c r="L215" s="29"/>
      <c r="M215" s="29"/>
      <c r="N215" s="29"/>
      <c r="O215" s="29"/>
      <c r="P215" s="29"/>
      <c r="Q215" s="29"/>
      <c r="R215" s="29"/>
      <c r="S215" s="29"/>
      <c r="T215" s="29"/>
      <c r="U215" s="29"/>
      <c r="V215" s="29"/>
      <c r="W215" s="29"/>
      <c r="X215" s="29"/>
      <c r="Y215" s="29"/>
      <c r="Z215" s="29"/>
    </row>
    <row r="216" ht="18.75" customHeight="1">
      <c r="A216" s="37"/>
      <c r="B216" s="38"/>
      <c r="C216" s="29"/>
      <c r="D216" s="39"/>
      <c r="E216" s="29"/>
      <c r="F216" s="40"/>
      <c r="G216" s="40"/>
      <c r="H216" s="40"/>
      <c r="I216" s="29"/>
      <c r="J216" s="29"/>
      <c r="K216" s="29"/>
      <c r="L216" s="29"/>
      <c r="M216" s="29"/>
      <c r="N216" s="29"/>
      <c r="O216" s="29"/>
      <c r="P216" s="29"/>
      <c r="Q216" s="29"/>
      <c r="R216" s="29"/>
      <c r="S216" s="29"/>
      <c r="T216" s="29"/>
      <c r="U216" s="29"/>
      <c r="V216" s="29"/>
      <c r="W216" s="29"/>
      <c r="X216" s="29"/>
      <c r="Y216" s="29"/>
      <c r="Z216" s="29"/>
    </row>
    <row r="217" ht="18.75" customHeight="1">
      <c r="A217" s="37"/>
      <c r="B217" s="38"/>
      <c r="C217" s="29"/>
      <c r="D217" s="39"/>
      <c r="E217" s="29"/>
      <c r="F217" s="40"/>
      <c r="G217" s="40"/>
      <c r="H217" s="40"/>
      <c r="I217" s="29"/>
      <c r="J217" s="29"/>
      <c r="K217" s="29"/>
      <c r="L217" s="29"/>
      <c r="M217" s="29"/>
      <c r="N217" s="29"/>
      <c r="O217" s="29"/>
      <c r="P217" s="29"/>
      <c r="Q217" s="29"/>
      <c r="R217" s="29"/>
      <c r="S217" s="29"/>
      <c r="T217" s="29"/>
      <c r="U217" s="29"/>
      <c r="V217" s="29"/>
      <c r="W217" s="29"/>
      <c r="X217" s="29"/>
      <c r="Y217" s="29"/>
      <c r="Z217" s="29"/>
    </row>
    <row r="218" ht="18.75" customHeight="1">
      <c r="A218" s="37"/>
      <c r="B218" s="38"/>
      <c r="C218" s="29"/>
      <c r="D218" s="39"/>
      <c r="E218" s="29"/>
      <c r="F218" s="40"/>
      <c r="G218" s="40"/>
      <c r="H218" s="40"/>
      <c r="I218" s="29"/>
      <c r="J218" s="29"/>
      <c r="K218" s="29"/>
      <c r="L218" s="29"/>
      <c r="M218" s="29"/>
      <c r="N218" s="29"/>
      <c r="O218" s="29"/>
      <c r="P218" s="29"/>
      <c r="Q218" s="29"/>
      <c r="R218" s="29"/>
      <c r="S218" s="29"/>
      <c r="T218" s="29"/>
      <c r="U218" s="29"/>
      <c r="V218" s="29"/>
      <c r="W218" s="29"/>
      <c r="X218" s="29"/>
      <c r="Y218" s="29"/>
      <c r="Z218" s="29"/>
    </row>
    <row r="219" ht="18.75" customHeight="1">
      <c r="A219" s="37"/>
      <c r="B219" s="38"/>
      <c r="C219" s="29"/>
      <c r="D219" s="39"/>
      <c r="E219" s="29"/>
      <c r="F219" s="40"/>
      <c r="G219" s="40"/>
      <c r="H219" s="40"/>
      <c r="I219" s="29"/>
      <c r="J219" s="29"/>
      <c r="K219" s="29"/>
      <c r="L219" s="29"/>
      <c r="M219" s="29"/>
      <c r="N219" s="29"/>
      <c r="O219" s="29"/>
      <c r="P219" s="29"/>
      <c r="Q219" s="29"/>
      <c r="R219" s="29"/>
      <c r="S219" s="29"/>
      <c r="T219" s="29"/>
      <c r="U219" s="29"/>
      <c r="V219" s="29"/>
      <c r="W219" s="29"/>
      <c r="X219" s="29"/>
      <c r="Y219" s="29"/>
      <c r="Z219" s="29"/>
    </row>
    <row r="220" ht="18.75" customHeight="1">
      <c r="A220" s="37"/>
      <c r="B220" s="38"/>
      <c r="C220" s="29"/>
      <c r="D220" s="39"/>
      <c r="E220" s="29"/>
      <c r="F220" s="40"/>
      <c r="G220" s="40"/>
      <c r="H220" s="40"/>
      <c r="I220" s="29"/>
      <c r="J220" s="29"/>
      <c r="K220" s="29"/>
      <c r="L220" s="29"/>
      <c r="M220" s="29"/>
      <c r="N220" s="29"/>
      <c r="O220" s="29"/>
      <c r="P220" s="29"/>
      <c r="Q220" s="29"/>
      <c r="R220" s="29"/>
      <c r="S220" s="29"/>
      <c r="T220" s="29"/>
      <c r="U220" s="29"/>
      <c r="V220" s="29"/>
      <c r="W220" s="29"/>
      <c r="X220" s="29"/>
      <c r="Y220" s="29"/>
      <c r="Z220" s="29"/>
    </row>
    <row r="221" ht="18.75" customHeight="1">
      <c r="A221" s="37"/>
      <c r="B221" s="38"/>
      <c r="C221" s="29"/>
      <c r="D221" s="39"/>
      <c r="E221" s="29"/>
      <c r="F221" s="40"/>
      <c r="G221" s="40"/>
      <c r="H221" s="40"/>
      <c r="I221" s="29"/>
      <c r="J221" s="29"/>
      <c r="K221" s="29"/>
      <c r="L221" s="29"/>
      <c r="M221" s="29"/>
      <c r="N221" s="29"/>
      <c r="O221" s="29"/>
      <c r="P221" s="29"/>
      <c r="Q221" s="29"/>
      <c r="R221" s="29"/>
      <c r="S221" s="29"/>
      <c r="T221" s="29"/>
      <c r="U221" s="29"/>
      <c r="V221" s="29"/>
      <c r="W221" s="29"/>
      <c r="X221" s="29"/>
      <c r="Y221" s="29"/>
      <c r="Z221" s="29"/>
    </row>
    <row r="222" ht="18.75" customHeight="1">
      <c r="A222" s="37"/>
      <c r="B222" s="38"/>
      <c r="C222" s="29"/>
      <c r="D222" s="39"/>
      <c r="E222" s="29"/>
      <c r="F222" s="40"/>
      <c r="G222" s="40"/>
      <c r="H222" s="40"/>
      <c r="I222" s="29"/>
      <c r="J222" s="29"/>
      <c r="K222" s="29"/>
      <c r="L222" s="29"/>
      <c r="M222" s="29"/>
      <c r="N222" s="29"/>
      <c r="O222" s="29"/>
      <c r="P222" s="29"/>
      <c r="Q222" s="29"/>
      <c r="R222" s="29"/>
      <c r="S222" s="29"/>
      <c r="T222" s="29"/>
      <c r="U222" s="29"/>
      <c r="V222" s="29"/>
      <c r="W222" s="29"/>
      <c r="X222" s="29"/>
      <c r="Y222" s="29"/>
      <c r="Z222" s="29"/>
    </row>
    <row r="223" ht="18.75" customHeight="1">
      <c r="A223" s="37"/>
      <c r="B223" s="38"/>
      <c r="C223" s="29"/>
      <c r="D223" s="39"/>
      <c r="E223" s="29"/>
      <c r="F223" s="40"/>
      <c r="G223" s="40"/>
      <c r="H223" s="40"/>
      <c r="I223" s="29"/>
      <c r="J223" s="29"/>
      <c r="K223" s="29"/>
      <c r="L223" s="29"/>
      <c r="M223" s="29"/>
      <c r="N223" s="29"/>
      <c r="O223" s="29"/>
      <c r="P223" s="29"/>
      <c r="Q223" s="29"/>
      <c r="R223" s="29"/>
      <c r="S223" s="29"/>
      <c r="T223" s="29"/>
      <c r="U223" s="29"/>
      <c r="V223" s="29"/>
      <c r="W223" s="29"/>
      <c r="X223" s="29"/>
      <c r="Y223" s="29"/>
      <c r="Z223" s="29"/>
    </row>
    <row r="224" ht="18.75" customHeight="1">
      <c r="A224" s="37"/>
      <c r="B224" s="38"/>
      <c r="C224" s="29"/>
      <c r="D224" s="39"/>
      <c r="E224" s="29"/>
      <c r="F224" s="40"/>
      <c r="G224" s="40"/>
      <c r="H224" s="40"/>
      <c r="I224" s="29"/>
      <c r="J224" s="29"/>
      <c r="K224" s="29"/>
      <c r="L224" s="29"/>
      <c r="M224" s="29"/>
      <c r="N224" s="29"/>
      <c r="O224" s="29"/>
      <c r="P224" s="29"/>
      <c r="Q224" s="29"/>
      <c r="R224" s="29"/>
      <c r="S224" s="29"/>
      <c r="T224" s="29"/>
      <c r="U224" s="29"/>
      <c r="V224" s="29"/>
      <c r="W224" s="29"/>
      <c r="X224" s="29"/>
      <c r="Y224" s="29"/>
      <c r="Z224" s="29"/>
    </row>
    <row r="225" ht="18.75" customHeight="1">
      <c r="A225" s="37"/>
      <c r="B225" s="38"/>
      <c r="C225" s="29"/>
      <c r="D225" s="39"/>
      <c r="E225" s="29"/>
      <c r="F225" s="40"/>
      <c r="G225" s="40"/>
      <c r="H225" s="40"/>
      <c r="I225" s="29"/>
      <c r="J225" s="29"/>
      <c r="K225" s="29"/>
      <c r="L225" s="29"/>
      <c r="M225" s="29"/>
      <c r="N225" s="29"/>
      <c r="O225" s="29"/>
      <c r="P225" s="29"/>
      <c r="Q225" s="29"/>
      <c r="R225" s="29"/>
      <c r="S225" s="29"/>
      <c r="T225" s="29"/>
      <c r="U225" s="29"/>
      <c r="V225" s="29"/>
      <c r="W225" s="29"/>
      <c r="X225" s="29"/>
      <c r="Y225" s="29"/>
      <c r="Z225" s="29"/>
    </row>
    <row r="226" ht="18.75" customHeight="1">
      <c r="A226" s="37"/>
      <c r="B226" s="38"/>
      <c r="C226" s="29"/>
      <c r="D226" s="39"/>
      <c r="E226" s="29"/>
      <c r="F226" s="40"/>
      <c r="G226" s="40"/>
      <c r="H226" s="40"/>
      <c r="I226" s="29"/>
      <c r="J226" s="29"/>
      <c r="K226" s="29"/>
      <c r="L226" s="29"/>
      <c r="M226" s="29"/>
      <c r="N226" s="29"/>
      <c r="O226" s="29"/>
      <c r="P226" s="29"/>
      <c r="Q226" s="29"/>
      <c r="R226" s="29"/>
      <c r="S226" s="29"/>
      <c r="T226" s="29"/>
      <c r="U226" s="29"/>
      <c r="V226" s="29"/>
      <c r="W226" s="29"/>
      <c r="X226" s="29"/>
      <c r="Y226" s="29"/>
      <c r="Z226" s="29"/>
    </row>
    <row r="227" ht="18.75" customHeight="1">
      <c r="A227" s="37"/>
      <c r="B227" s="38"/>
      <c r="C227" s="29"/>
      <c r="D227" s="39"/>
      <c r="E227" s="29"/>
      <c r="F227" s="40"/>
      <c r="G227" s="40"/>
      <c r="H227" s="40"/>
      <c r="I227" s="29"/>
      <c r="J227" s="29"/>
      <c r="K227" s="29"/>
      <c r="L227" s="29"/>
      <c r="M227" s="29"/>
      <c r="N227" s="29"/>
      <c r="O227" s="29"/>
      <c r="P227" s="29"/>
      <c r="Q227" s="29"/>
      <c r="R227" s="29"/>
      <c r="S227" s="29"/>
      <c r="T227" s="29"/>
      <c r="U227" s="29"/>
      <c r="V227" s="29"/>
      <c r="W227" s="29"/>
      <c r="X227" s="29"/>
      <c r="Y227" s="29"/>
      <c r="Z227" s="29"/>
    </row>
    <row r="228" ht="18.75" customHeight="1">
      <c r="A228" s="37"/>
      <c r="B228" s="38"/>
      <c r="C228" s="29"/>
      <c r="D228" s="39"/>
      <c r="E228" s="29"/>
      <c r="F228" s="40"/>
      <c r="G228" s="40"/>
      <c r="H228" s="40"/>
      <c r="I228" s="29"/>
      <c r="J228" s="29"/>
      <c r="K228" s="29"/>
      <c r="L228" s="29"/>
      <c r="M228" s="29"/>
      <c r="N228" s="29"/>
      <c r="O228" s="29"/>
      <c r="P228" s="29"/>
      <c r="Q228" s="29"/>
      <c r="R228" s="29"/>
      <c r="S228" s="29"/>
      <c r="T228" s="29"/>
      <c r="U228" s="29"/>
      <c r="V228" s="29"/>
      <c r="W228" s="29"/>
      <c r="X228" s="29"/>
      <c r="Y228" s="29"/>
      <c r="Z228" s="29"/>
    </row>
    <row r="229" ht="18.75" customHeight="1">
      <c r="A229" s="37"/>
      <c r="B229" s="38"/>
      <c r="C229" s="29"/>
      <c r="D229" s="39"/>
      <c r="E229" s="29"/>
      <c r="F229" s="40"/>
      <c r="G229" s="40"/>
      <c r="H229" s="40"/>
      <c r="I229" s="29"/>
      <c r="J229" s="29"/>
      <c r="K229" s="29"/>
      <c r="L229" s="29"/>
      <c r="M229" s="29"/>
      <c r="N229" s="29"/>
      <c r="O229" s="29"/>
      <c r="P229" s="29"/>
      <c r="Q229" s="29"/>
      <c r="R229" s="29"/>
      <c r="S229" s="29"/>
      <c r="T229" s="29"/>
      <c r="U229" s="29"/>
      <c r="V229" s="29"/>
      <c r="W229" s="29"/>
      <c r="X229" s="29"/>
      <c r="Y229" s="29"/>
      <c r="Z229" s="29"/>
    </row>
    <row r="230" ht="18.75" customHeight="1">
      <c r="A230" s="37"/>
      <c r="B230" s="38"/>
      <c r="C230" s="29"/>
      <c r="D230" s="39"/>
      <c r="E230" s="29"/>
      <c r="F230" s="40"/>
      <c r="G230" s="40"/>
      <c r="H230" s="40"/>
      <c r="I230" s="29"/>
      <c r="J230" s="29"/>
      <c r="K230" s="29"/>
      <c r="L230" s="29"/>
      <c r="M230" s="29"/>
      <c r="N230" s="29"/>
      <c r="O230" s="29"/>
      <c r="P230" s="29"/>
      <c r="Q230" s="29"/>
      <c r="R230" s="29"/>
      <c r="S230" s="29"/>
      <c r="T230" s="29"/>
      <c r="U230" s="29"/>
      <c r="V230" s="29"/>
      <c r="W230" s="29"/>
      <c r="X230" s="29"/>
      <c r="Y230" s="29"/>
      <c r="Z230" s="29"/>
    </row>
    <row r="231" ht="18.75" customHeight="1">
      <c r="A231" s="37"/>
      <c r="B231" s="38"/>
      <c r="C231" s="29"/>
      <c r="D231" s="39"/>
      <c r="E231" s="29"/>
      <c r="F231" s="40"/>
      <c r="G231" s="40"/>
      <c r="H231" s="40"/>
      <c r="I231" s="29"/>
      <c r="J231" s="29"/>
      <c r="K231" s="29"/>
      <c r="L231" s="29"/>
      <c r="M231" s="29"/>
      <c r="N231" s="29"/>
      <c r="O231" s="29"/>
      <c r="P231" s="29"/>
      <c r="Q231" s="29"/>
      <c r="R231" s="29"/>
      <c r="S231" s="29"/>
      <c r="T231" s="29"/>
      <c r="U231" s="29"/>
      <c r="V231" s="29"/>
      <c r="W231" s="29"/>
      <c r="X231" s="29"/>
      <c r="Y231" s="29"/>
      <c r="Z231" s="29"/>
    </row>
    <row r="232" ht="18.75" customHeight="1">
      <c r="A232" s="37"/>
      <c r="B232" s="38"/>
      <c r="C232" s="29"/>
      <c r="D232" s="39"/>
      <c r="E232" s="29"/>
      <c r="F232" s="40"/>
      <c r="G232" s="40"/>
      <c r="H232" s="40"/>
      <c r="I232" s="29"/>
      <c r="J232" s="29"/>
      <c r="K232" s="29"/>
      <c r="L232" s="29"/>
      <c r="M232" s="29"/>
      <c r="N232" s="29"/>
      <c r="O232" s="29"/>
      <c r="P232" s="29"/>
      <c r="Q232" s="29"/>
      <c r="R232" s="29"/>
      <c r="S232" s="29"/>
      <c r="T232" s="29"/>
      <c r="U232" s="29"/>
      <c r="V232" s="29"/>
      <c r="W232" s="29"/>
      <c r="X232" s="29"/>
      <c r="Y232" s="29"/>
      <c r="Z232" s="29"/>
    </row>
    <row r="233" ht="18.75" customHeight="1">
      <c r="A233" s="37"/>
      <c r="B233" s="38"/>
      <c r="C233" s="29"/>
      <c r="D233" s="39"/>
      <c r="E233" s="29"/>
      <c r="F233" s="40"/>
      <c r="G233" s="40"/>
      <c r="H233" s="40"/>
      <c r="I233" s="29"/>
      <c r="J233" s="29"/>
      <c r="K233" s="29"/>
      <c r="L233" s="29"/>
      <c r="M233" s="29"/>
      <c r="N233" s="29"/>
      <c r="O233" s="29"/>
      <c r="P233" s="29"/>
      <c r="Q233" s="29"/>
      <c r="R233" s="29"/>
      <c r="S233" s="29"/>
      <c r="T233" s="29"/>
      <c r="U233" s="29"/>
      <c r="V233" s="29"/>
      <c r="W233" s="29"/>
      <c r="X233" s="29"/>
      <c r="Y233" s="29"/>
      <c r="Z233" s="29"/>
    </row>
    <row r="234" ht="18.75" customHeight="1">
      <c r="A234" s="37"/>
      <c r="B234" s="38"/>
      <c r="C234" s="29"/>
      <c r="D234" s="39"/>
      <c r="E234" s="29"/>
      <c r="F234" s="40"/>
      <c r="G234" s="40"/>
      <c r="H234" s="40"/>
      <c r="I234" s="29"/>
      <c r="J234" s="29"/>
      <c r="K234" s="29"/>
      <c r="L234" s="29"/>
      <c r="M234" s="29"/>
      <c r="N234" s="29"/>
      <c r="O234" s="29"/>
      <c r="P234" s="29"/>
      <c r="Q234" s="29"/>
      <c r="R234" s="29"/>
      <c r="S234" s="29"/>
      <c r="T234" s="29"/>
      <c r="U234" s="29"/>
      <c r="V234" s="29"/>
      <c r="W234" s="29"/>
      <c r="X234" s="29"/>
      <c r="Y234" s="29"/>
      <c r="Z234" s="29"/>
    </row>
    <row r="235" ht="18.75" customHeight="1">
      <c r="A235" s="37"/>
      <c r="B235" s="38"/>
      <c r="C235" s="29"/>
      <c r="D235" s="39"/>
      <c r="E235" s="29"/>
      <c r="F235" s="40"/>
      <c r="G235" s="40"/>
      <c r="H235" s="40"/>
      <c r="I235" s="29"/>
      <c r="J235" s="29"/>
      <c r="K235" s="29"/>
      <c r="L235" s="29"/>
      <c r="M235" s="29"/>
      <c r="N235" s="29"/>
      <c r="O235" s="29"/>
      <c r="P235" s="29"/>
      <c r="Q235" s="29"/>
      <c r="R235" s="29"/>
      <c r="S235" s="29"/>
      <c r="T235" s="29"/>
      <c r="U235" s="29"/>
      <c r="V235" s="29"/>
      <c r="W235" s="29"/>
      <c r="X235" s="29"/>
      <c r="Y235" s="29"/>
      <c r="Z235" s="29"/>
    </row>
    <row r="236" ht="18.75" customHeight="1">
      <c r="A236" s="37"/>
      <c r="B236" s="38"/>
      <c r="C236" s="29"/>
      <c r="D236" s="39"/>
      <c r="E236" s="29"/>
      <c r="F236" s="40"/>
      <c r="G236" s="40"/>
      <c r="H236" s="40"/>
      <c r="I236" s="29"/>
      <c r="J236" s="29"/>
      <c r="K236" s="29"/>
      <c r="L236" s="29"/>
      <c r="M236" s="29"/>
      <c r="N236" s="29"/>
      <c r="O236" s="29"/>
      <c r="P236" s="29"/>
      <c r="Q236" s="29"/>
      <c r="R236" s="29"/>
      <c r="S236" s="29"/>
      <c r="T236" s="29"/>
      <c r="U236" s="29"/>
      <c r="V236" s="29"/>
      <c r="W236" s="29"/>
      <c r="X236" s="29"/>
      <c r="Y236" s="29"/>
      <c r="Z236" s="29"/>
    </row>
    <row r="237" ht="18.75" customHeight="1">
      <c r="A237" s="37"/>
      <c r="B237" s="38"/>
      <c r="C237" s="29"/>
      <c r="D237" s="39"/>
      <c r="E237" s="29"/>
      <c r="F237" s="40"/>
      <c r="G237" s="40"/>
      <c r="H237" s="40"/>
      <c r="I237" s="29"/>
      <c r="J237" s="29"/>
      <c r="K237" s="29"/>
      <c r="L237" s="29"/>
      <c r="M237" s="29"/>
      <c r="N237" s="29"/>
      <c r="O237" s="29"/>
      <c r="P237" s="29"/>
      <c r="Q237" s="29"/>
      <c r="R237" s="29"/>
      <c r="S237" s="29"/>
      <c r="T237" s="29"/>
      <c r="U237" s="29"/>
      <c r="V237" s="29"/>
      <c r="W237" s="29"/>
      <c r="X237" s="29"/>
      <c r="Y237" s="29"/>
      <c r="Z237" s="29"/>
    </row>
    <row r="238" ht="18.75" customHeight="1">
      <c r="A238" s="37"/>
      <c r="B238" s="38"/>
      <c r="C238" s="29"/>
      <c r="D238" s="39"/>
      <c r="E238" s="29"/>
      <c r="F238" s="40"/>
      <c r="G238" s="40"/>
      <c r="H238" s="40"/>
      <c r="I238" s="29"/>
      <c r="J238" s="29"/>
      <c r="K238" s="29"/>
      <c r="L238" s="29"/>
      <c r="M238" s="29"/>
      <c r="N238" s="29"/>
      <c r="O238" s="29"/>
      <c r="P238" s="29"/>
      <c r="Q238" s="29"/>
      <c r="R238" s="29"/>
      <c r="S238" s="29"/>
      <c r="T238" s="29"/>
      <c r="U238" s="29"/>
      <c r="V238" s="29"/>
      <c r="W238" s="29"/>
      <c r="X238" s="29"/>
      <c r="Y238" s="29"/>
      <c r="Z238" s="29"/>
    </row>
    <row r="239" ht="18.75" customHeight="1">
      <c r="A239" s="37"/>
      <c r="B239" s="38"/>
      <c r="C239" s="29"/>
      <c r="D239" s="39"/>
      <c r="E239" s="29"/>
      <c r="F239" s="40"/>
      <c r="G239" s="40"/>
      <c r="H239" s="40"/>
      <c r="I239" s="29"/>
      <c r="J239" s="29"/>
      <c r="K239" s="29"/>
      <c r="L239" s="29"/>
      <c r="M239" s="29"/>
      <c r="N239" s="29"/>
      <c r="O239" s="29"/>
      <c r="P239" s="29"/>
      <c r="Q239" s="29"/>
      <c r="R239" s="29"/>
      <c r="S239" s="29"/>
      <c r="T239" s="29"/>
      <c r="U239" s="29"/>
      <c r="V239" s="29"/>
      <c r="W239" s="29"/>
      <c r="X239" s="29"/>
      <c r="Y239" s="29"/>
      <c r="Z239" s="29"/>
    </row>
    <row r="240" ht="18.75" customHeight="1">
      <c r="A240" s="37"/>
      <c r="B240" s="38"/>
      <c r="C240" s="29"/>
      <c r="D240" s="39"/>
      <c r="E240" s="29"/>
      <c r="F240" s="40"/>
      <c r="G240" s="40"/>
      <c r="H240" s="40"/>
      <c r="I240" s="29"/>
      <c r="J240" s="29"/>
      <c r="K240" s="29"/>
      <c r="L240" s="29"/>
      <c r="M240" s="29"/>
      <c r="N240" s="29"/>
      <c r="O240" s="29"/>
      <c r="P240" s="29"/>
      <c r="Q240" s="29"/>
      <c r="R240" s="29"/>
      <c r="S240" s="29"/>
      <c r="T240" s="29"/>
      <c r="U240" s="29"/>
      <c r="V240" s="29"/>
      <c r="W240" s="29"/>
      <c r="X240" s="29"/>
      <c r="Y240" s="29"/>
      <c r="Z240" s="29"/>
    </row>
    <row r="241" ht="18.75" customHeight="1">
      <c r="A241" s="37"/>
      <c r="B241" s="38"/>
      <c r="C241" s="29"/>
      <c r="D241" s="39"/>
      <c r="E241" s="29"/>
      <c r="F241" s="40"/>
      <c r="G241" s="40"/>
      <c r="H241" s="40"/>
      <c r="I241" s="29"/>
      <c r="J241" s="29"/>
      <c r="K241" s="29"/>
      <c r="L241" s="29"/>
      <c r="M241" s="29"/>
      <c r="N241" s="29"/>
      <c r="O241" s="29"/>
      <c r="P241" s="29"/>
      <c r="Q241" s="29"/>
      <c r="R241" s="29"/>
      <c r="S241" s="29"/>
      <c r="T241" s="29"/>
      <c r="U241" s="29"/>
      <c r="V241" s="29"/>
      <c r="W241" s="29"/>
      <c r="X241" s="29"/>
      <c r="Y241" s="29"/>
      <c r="Z241" s="29"/>
    </row>
    <row r="242" ht="18.75" customHeight="1">
      <c r="A242" s="37"/>
      <c r="B242" s="38"/>
      <c r="C242" s="29"/>
      <c r="D242" s="39"/>
      <c r="E242" s="29"/>
      <c r="F242" s="40"/>
      <c r="G242" s="40"/>
      <c r="H242" s="40"/>
      <c r="I242" s="29"/>
      <c r="J242" s="29"/>
      <c r="K242" s="29"/>
      <c r="L242" s="29"/>
      <c r="M242" s="29"/>
      <c r="N242" s="29"/>
      <c r="O242" s="29"/>
      <c r="P242" s="29"/>
      <c r="Q242" s="29"/>
      <c r="R242" s="29"/>
      <c r="S242" s="29"/>
      <c r="T242" s="29"/>
      <c r="U242" s="29"/>
      <c r="V242" s="29"/>
      <c r="W242" s="29"/>
      <c r="X242" s="29"/>
      <c r="Y242" s="29"/>
      <c r="Z242" s="29"/>
    </row>
    <row r="243" ht="18.75" customHeight="1">
      <c r="A243" s="37"/>
      <c r="B243" s="38"/>
      <c r="C243" s="29"/>
      <c r="D243" s="39"/>
      <c r="E243" s="29"/>
      <c r="F243" s="40"/>
      <c r="G243" s="40"/>
      <c r="H243" s="40"/>
      <c r="I243" s="29"/>
      <c r="J243" s="29"/>
      <c r="K243" s="29"/>
      <c r="L243" s="29"/>
      <c r="M243" s="29"/>
      <c r="N243" s="29"/>
      <c r="O243" s="29"/>
      <c r="P243" s="29"/>
      <c r="Q243" s="29"/>
      <c r="R243" s="29"/>
      <c r="S243" s="29"/>
      <c r="T243" s="29"/>
      <c r="U243" s="29"/>
      <c r="V243" s="29"/>
      <c r="W243" s="29"/>
      <c r="X243" s="29"/>
      <c r="Y243" s="29"/>
      <c r="Z243" s="29"/>
    </row>
    <row r="244" ht="18.75" customHeight="1">
      <c r="A244" s="37"/>
      <c r="B244" s="38"/>
      <c r="C244" s="29"/>
      <c r="D244" s="39"/>
      <c r="E244" s="29"/>
      <c r="F244" s="40"/>
      <c r="G244" s="40"/>
      <c r="H244" s="40"/>
      <c r="I244" s="29"/>
      <c r="J244" s="29"/>
      <c r="K244" s="29"/>
      <c r="L244" s="29"/>
      <c r="M244" s="29"/>
      <c r="N244" s="29"/>
      <c r="O244" s="29"/>
      <c r="P244" s="29"/>
      <c r="Q244" s="29"/>
      <c r="R244" s="29"/>
      <c r="S244" s="29"/>
      <c r="T244" s="29"/>
      <c r="U244" s="29"/>
      <c r="V244" s="29"/>
      <c r="W244" s="29"/>
      <c r="X244" s="29"/>
      <c r="Y244" s="29"/>
      <c r="Z244" s="29"/>
    </row>
    <row r="245" ht="18.75" customHeight="1">
      <c r="A245" s="37"/>
      <c r="B245" s="38"/>
      <c r="C245" s="29"/>
      <c r="D245" s="39"/>
      <c r="E245" s="29"/>
      <c r="F245" s="40"/>
      <c r="G245" s="40"/>
      <c r="H245" s="40"/>
      <c r="I245" s="29"/>
      <c r="J245" s="29"/>
      <c r="K245" s="29"/>
      <c r="L245" s="29"/>
      <c r="M245" s="29"/>
      <c r="N245" s="29"/>
      <c r="O245" s="29"/>
      <c r="P245" s="29"/>
      <c r="Q245" s="29"/>
      <c r="R245" s="29"/>
      <c r="S245" s="29"/>
      <c r="T245" s="29"/>
      <c r="U245" s="29"/>
      <c r="V245" s="29"/>
      <c r="W245" s="29"/>
      <c r="X245" s="29"/>
      <c r="Y245" s="29"/>
      <c r="Z245" s="29"/>
    </row>
    <row r="246" ht="18.75" customHeight="1">
      <c r="A246" s="37"/>
      <c r="B246" s="38"/>
      <c r="C246" s="29"/>
      <c r="D246" s="39"/>
      <c r="E246" s="29"/>
      <c r="F246" s="40"/>
      <c r="G246" s="40"/>
      <c r="H246" s="40"/>
      <c r="I246" s="29"/>
      <c r="J246" s="29"/>
      <c r="K246" s="29"/>
      <c r="L246" s="29"/>
      <c r="M246" s="29"/>
      <c r="N246" s="29"/>
      <c r="O246" s="29"/>
      <c r="P246" s="29"/>
      <c r="Q246" s="29"/>
      <c r="R246" s="29"/>
      <c r="S246" s="29"/>
      <c r="T246" s="29"/>
      <c r="U246" s="29"/>
      <c r="V246" s="29"/>
      <c r="W246" s="29"/>
      <c r="X246" s="29"/>
      <c r="Y246" s="29"/>
      <c r="Z246" s="29"/>
    </row>
    <row r="247" ht="18.75" customHeight="1">
      <c r="A247" s="37"/>
      <c r="B247" s="38"/>
      <c r="C247" s="29"/>
      <c r="D247" s="39"/>
      <c r="E247" s="29"/>
      <c r="F247" s="40"/>
      <c r="G247" s="40"/>
      <c r="H247" s="40"/>
      <c r="I247" s="29"/>
      <c r="J247" s="29"/>
      <c r="K247" s="29"/>
      <c r="L247" s="29"/>
      <c r="M247" s="29"/>
      <c r="N247" s="29"/>
      <c r="O247" s="29"/>
      <c r="P247" s="29"/>
      <c r="Q247" s="29"/>
      <c r="R247" s="29"/>
      <c r="S247" s="29"/>
      <c r="T247" s="29"/>
      <c r="U247" s="29"/>
      <c r="V247" s="29"/>
      <c r="W247" s="29"/>
      <c r="X247" s="29"/>
      <c r="Y247" s="29"/>
      <c r="Z247" s="29"/>
    </row>
    <row r="248" ht="18.75" customHeight="1">
      <c r="A248" s="37"/>
      <c r="B248" s="38"/>
      <c r="C248" s="29"/>
      <c r="D248" s="39"/>
      <c r="E248" s="29"/>
      <c r="F248" s="40"/>
      <c r="G248" s="40"/>
      <c r="H248" s="40"/>
      <c r="I248" s="29"/>
      <c r="J248" s="29"/>
      <c r="K248" s="29"/>
      <c r="L248" s="29"/>
      <c r="M248" s="29"/>
      <c r="N248" s="29"/>
      <c r="O248" s="29"/>
      <c r="P248" s="29"/>
      <c r="Q248" s="29"/>
      <c r="R248" s="29"/>
      <c r="S248" s="29"/>
      <c r="T248" s="29"/>
      <c r="U248" s="29"/>
      <c r="V248" s="29"/>
      <c r="W248" s="29"/>
      <c r="X248" s="29"/>
      <c r="Y248" s="29"/>
      <c r="Z248" s="29"/>
    </row>
    <row r="249" ht="18.75" customHeight="1">
      <c r="A249" s="37"/>
      <c r="B249" s="38"/>
      <c r="C249" s="29"/>
      <c r="D249" s="39"/>
      <c r="E249" s="29"/>
      <c r="F249" s="40"/>
      <c r="G249" s="40"/>
      <c r="H249" s="40"/>
      <c r="I249" s="29"/>
      <c r="J249" s="29"/>
      <c r="K249" s="29"/>
      <c r="L249" s="29"/>
      <c r="M249" s="29"/>
      <c r="N249" s="29"/>
      <c r="O249" s="29"/>
      <c r="P249" s="29"/>
      <c r="Q249" s="29"/>
      <c r="R249" s="29"/>
      <c r="S249" s="29"/>
      <c r="T249" s="29"/>
      <c r="U249" s="29"/>
      <c r="V249" s="29"/>
      <c r="W249" s="29"/>
      <c r="X249" s="29"/>
      <c r="Y249" s="29"/>
      <c r="Z249" s="29"/>
    </row>
    <row r="250" ht="18.75" customHeight="1">
      <c r="A250" s="37"/>
      <c r="B250" s="38"/>
      <c r="C250" s="29"/>
      <c r="D250" s="39"/>
      <c r="E250" s="29"/>
      <c r="F250" s="40"/>
      <c r="G250" s="40"/>
      <c r="H250" s="40"/>
      <c r="I250" s="29"/>
      <c r="J250" s="29"/>
      <c r="K250" s="29"/>
      <c r="L250" s="29"/>
      <c r="M250" s="29"/>
      <c r="N250" s="29"/>
      <c r="O250" s="29"/>
      <c r="P250" s="29"/>
      <c r="Q250" s="29"/>
      <c r="R250" s="29"/>
      <c r="S250" s="29"/>
      <c r="T250" s="29"/>
      <c r="U250" s="29"/>
      <c r="V250" s="29"/>
      <c r="W250" s="29"/>
      <c r="X250" s="29"/>
      <c r="Y250" s="29"/>
      <c r="Z250" s="29"/>
    </row>
    <row r="251" ht="18.75" customHeight="1">
      <c r="A251" s="37"/>
      <c r="B251" s="38"/>
      <c r="C251" s="29"/>
      <c r="D251" s="39"/>
      <c r="E251" s="29"/>
      <c r="F251" s="40"/>
      <c r="G251" s="40"/>
      <c r="H251" s="40"/>
      <c r="I251" s="29"/>
      <c r="J251" s="29"/>
      <c r="K251" s="29"/>
      <c r="L251" s="29"/>
      <c r="M251" s="29"/>
      <c r="N251" s="29"/>
      <c r="O251" s="29"/>
      <c r="P251" s="29"/>
      <c r="Q251" s="29"/>
      <c r="R251" s="29"/>
      <c r="S251" s="29"/>
      <c r="T251" s="29"/>
      <c r="U251" s="29"/>
      <c r="V251" s="29"/>
      <c r="W251" s="29"/>
      <c r="X251" s="29"/>
      <c r="Y251" s="29"/>
      <c r="Z251" s="29"/>
    </row>
    <row r="252" ht="18.75" customHeight="1">
      <c r="A252" s="37"/>
      <c r="B252" s="38"/>
      <c r="C252" s="29"/>
      <c r="D252" s="39"/>
      <c r="E252" s="29"/>
      <c r="F252" s="40"/>
      <c r="G252" s="40"/>
      <c r="H252" s="40"/>
      <c r="I252" s="29"/>
      <c r="J252" s="29"/>
      <c r="K252" s="29"/>
      <c r="L252" s="29"/>
      <c r="M252" s="29"/>
      <c r="N252" s="29"/>
      <c r="O252" s="29"/>
      <c r="P252" s="29"/>
      <c r="Q252" s="29"/>
      <c r="R252" s="29"/>
      <c r="S252" s="29"/>
      <c r="T252" s="29"/>
      <c r="U252" s="29"/>
      <c r="V252" s="29"/>
      <c r="W252" s="29"/>
      <c r="X252" s="29"/>
      <c r="Y252" s="29"/>
      <c r="Z252" s="29"/>
    </row>
    <row r="253" ht="18.75" customHeight="1">
      <c r="A253" s="37"/>
      <c r="B253" s="38"/>
      <c r="C253" s="29"/>
      <c r="D253" s="39"/>
      <c r="E253" s="29"/>
      <c r="F253" s="40"/>
      <c r="G253" s="40"/>
      <c r="H253" s="40"/>
      <c r="I253" s="29"/>
      <c r="J253" s="29"/>
      <c r="K253" s="29"/>
      <c r="L253" s="29"/>
      <c r="M253" s="29"/>
      <c r="N253" s="29"/>
      <c r="O253" s="29"/>
      <c r="P253" s="29"/>
      <c r="Q253" s="29"/>
      <c r="R253" s="29"/>
      <c r="S253" s="29"/>
      <c r="T253" s="29"/>
      <c r="U253" s="29"/>
      <c r="V253" s="29"/>
      <c r="W253" s="29"/>
      <c r="X253" s="29"/>
      <c r="Y253" s="29"/>
      <c r="Z253" s="29"/>
    </row>
    <row r="254" ht="18.75" customHeight="1">
      <c r="A254" s="37"/>
      <c r="B254" s="38"/>
      <c r="C254" s="29"/>
      <c r="D254" s="39"/>
      <c r="E254" s="29"/>
      <c r="F254" s="40"/>
      <c r="G254" s="40"/>
      <c r="H254" s="40"/>
      <c r="I254" s="29"/>
      <c r="J254" s="29"/>
      <c r="K254" s="29"/>
      <c r="L254" s="29"/>
      <c r="M254" s="29"/>
      <c r="N254" s="29"/>
      <c r="O254" s="29"/>
      <c r="P254" s="29"/>
      <c r="Q254" s="29"/>
      <c r="R254" s="29"/>
      <c r="S254" s="29"/>
      <c r="T254" s="29"/>
      <c r="U254" s="29"/>
      <c r="V254" s="29"/>
      <c r="W254" s="29"/>
      <c r="X254" s="29"/>
      <c r="Y254" s="29"/>
      <c r="Z254" s="29"/>
    </row>
    <row r="255" ht="18.75" customHeight="1">
      <c r="A255" s="37"/>
      <c r="B255" s="38"/>
      <c r="C255" s="29"/>
      <c r="D255" s="39"/>
      <c r="E255" s="29"/>
      <c r="F255" s="40"/>
      <c r="G255" s="40"/>
      <c r="H255" s="40"/>
      <c r="I255" s="29"/>
      <c r="J255" s="29"/>
      <c r="K255" s="29"/>
      <c r="L255" s="29"/>
      <c r="M255" s="29"/>
      <c r="N255" s="29"/>
      <c r="O255" s="29"/>
      <c r="P255" s="29"/>
      <c r="Q255" s="29"/>
      <c r="R255" s="29"/>
      <c r="S255" s="29"/>
      <c r="T255" s="29"/>
      <c r="U255" s="29"/>
      <c r="V255" s="29"/>
      <c r="W255" s="29"/>
      <c r="X255" s="29"/>
      <c r="Y255" s="29"/>
      <c r="Z255" s="29"/>
    </row>
    <row r="256" ht="18.75" customHeight="1">
      <c r="A256" s="37"/>
      <c r="B256" s="38"/>
      <c r="C256" s="29"/>
      <c r="D256" s="39"/>
      <c r="E256" s="29"/>
      <c r="F256" s="40"/>
      <c r="G256" s="40"/>
      <c r="H256" s="40"/>
      <c r="I256" s="29"/>
      <c r="J256" s="29"/>
      <c r="K256" s="29"/>
      <c r="L256" s="29"/>
      <c r="M256" s="29"/>
      <c r="N256" s="29"/>
      <c r="O256" s="29"/>
      <c r="P256" s="29"/>
      <c r="Q256" s="29"/>
      <c r="R256" s="29"/>
      <c r="S256" s="29"/>
      <c r="T256" s="29"/>
      <c r="U256" s="29"/>
      <c r="V256" s="29"/>
      <c r="W256" s="29"/>
      <c r="X256" s="29"/>
      <c r="Y256" s="29"/>
      <c r="Z256" s="29"/>
    </row>
    <row r="257" ht="18.75" customHeight="1">
      <c r="A257" s="37"/>
      <c r="B257" s="38"/>
      <c r="C257" s="29"/>
      <c r="D257" s="39"/>
      <c r="E257" s="29"/>
      <c r="F257" s="40"/>
      <c r="G257" s="40"/>
      <c r="H257" s="40"/>
      <c r="I257" s="29"/>
      <c r="J257" s="29"/>
      <c r="K257" s="29"/>
      <c r="L257" s="29"/>
      <c r="M257" s="29"/>
      <c r="N257" s="29"/>
      <c r="O257" s="29"/>
      <c r="P257" s="29"/>
      <c r="Q257" s="29"/>
      <c r="R257" s="29"/>
      <c r="S257" s="29"/>
      <c r="T257" s="29"/>
      <c r="U257" s="29"/>
      <c r="V257" s="29"/>
      <c r="W257" s="29"/>
      <c r="X257" s="29"/>
      <c r="Y257" s="29"/>
      <c r="Z257" s="29"/>
    </row>
    <row r="258" ht="18.75" customHeight="1">
      <c r="A258" s="37"/>
      <c r="B258" s="38"/>
      <c r="C258" s="29"/>
      <c r="D258" s="39"/>
      <c r="E258" s="29"/>
      <c r="F258" s="40"/>
      <c r="G258" s="40"/>
      <c r="H258" s="40"/>
      <c r="I258" s="29"/>
      <c r="J258" s="29"/>
      <c r="K258" s="29"/>
      <c r="L258" s="29"/>
      <c r="M258" s="29"/>
      <c r="N258" s="29"/>
      <c r="O258" s="29"/>
      <c r="P258" s="29"/>
      <c r="Q258" s="29"/>
      <c r="R258" s="29"/>
      <c r="S258" s="29"/>
      <c r="T258" s="29"/>
      <c r="U258" s="29"/>
      <c r="V258" s="29"/>
      <c r="W258" s="29"/>
      <c r="X258" s="29"/>
      <c r="Y258" s="29"/>
      <c r="Z258" s="29"/>
    </row>
    <row r="259" ht="18.75" customHeight="1">
      <c r="A259" s="37"/>
      <c r="B259" s="38"/>
      <c r="C259" s="29"/>
      <c r="D259" s="39"/>
      <c r="E259" s="29"/>
      <c r="F259" s="40"/>
      <c r="G259" s="40"/>
      <c r="H259" s="40"/>
      <c r="I259" s="29"/>
      <c r="J259" s="29"/>
      <c r="K259" s="29"/>
      <c r="L259" s="29"/>
      <c r="M259" s="29"/>
      <c r="N259" s="29"/>
      <c r="O259" s="29"/>
      <c r="P259" s="29"/>
      <c r="Q259" s="29"/>
      <c r="R259" s="29"/>
      <c r="S259" s="29"/>
      <c r="T259" s="29"/>
      <c r="U259" s="29"/>
      <c r="V259" s="29"/>
      <c r="W259" s="29"/>
      <c r="X259" s="29"/>
      <c r="Y259" s="29"/>
      <c r="Z259" s="29"/>
    </row>
    <row r="260" ht="18.75" customHeight="1">
      <c r="A260" s="37"/>
      <c r="B260" s="38"/>
      <c r="C260" s="29"/>
      <c r="D260" s="39"/>
      <c r="E260" s="29"/>
      <c r="F260" s="40"/>
      <c r="G260" s="40"/>
      <c r="H260" s="40"/>
      <c r="I260" s="29"/>
      <c r="J260" s="29"/>
      <c r="K260" s="29"/>
      <c r="L260" s="29"/>
      <c r="M260" s="29"/>
      <c r="N260" s="29"/>
      <c r="O260" s="29"/>
      <c r="P260" s="29"/>
      <c r="Q260" s="29"/>
      <c r="R260" s="29"/>
      <c r="S260" s="29"/>
      <c r="T260" s="29"/>
      <c r="U260" s="29"/>
      <c r="V260" s="29"/>
      <c r="W260" s="29"/>
      <c r="X260" s="29"/>
      <c r="Y260" s="29"/>
      <c r="Z260" s="29"/>
    </row>
    <row r="261" ht="18.75" customHeight="1">
      <c r="A261" s="37"/>
      <c r="B261" s="38"/>
      <c r="C261" s="29"/>
      <c r="D261" s="39"/>
      <c r="E261" s="29"/>
      <c r="F261" s="40"/>
      <c r="G261" s="40"/>
      <c r="H261" s="40"/>
      <c r="I261" s="29"/>
      <c r="J261" s="29"/>
      <c r="K261" s="29"/>
      <c r="L261" s="29"/>
      <c r="M261" s="29"/>
      <c r="N261" s="29"/>
      <c r="O261" s="29"/>
      <c r="P261" s="29"/>
      <c r="Q261" s="29"/>
      <c r="R261" s="29"/>
      <c r="S261" s="29"/>
      <c r="T261" s="29"/>
      <c r="U261" s="29"/>
      <c r="V261" s="29"/>
      <c r="W261" s="29"/>
      <c r="X261" s="29"/>
      <c r="Y261" s="29"/>
      <c r="Z261" s="29"/>
    </row>
    <row r="262" ht="18.75" customHeight="1">
      <c r="A262" s="37"/>
      <c r="B262" s="38"/>
      <c r="C262" s="29"/>
      <c r="D262" s="39"/>
      <c r="E262" s="29"/>
      <c r="F262" s="40"/>
      <c r="G262" s="40"/>
      <c r="H262" s="40"/>
      <c r="I262" s="29"/>
      <c r="J262" s="29"/>
      <c r="K262" s="29"/>
      <c r="L262" s="29"/>
      <c r="M262" s="29"/>
      <c r="N262" s="29"/>
      <c r="O262" s="29"/>
      <c r="P262" s="29"/>
      <c r="Q262" s="29"/>
      <c r="R262" s="29"/>
      <c r="S262" s="29"/>
      <c r="T262" s="29"/>
      <c r="U262" s="29"/>
      <c r="V262" s="29"/>
      <c r="W262" s="29"/>
      <c r="X262" s="29"/>
      <c r="Y262" s="29"/>
      <c r="Z262" s="29"/>
    </row>
    <row r="263" ht="18.75" customHeight="1">
      <c r="A263" s="37"/>
      <c r="B263" s="38"/>
      <c r="C263" s="29"/>
      <c r="D263" s="39"/>
      <c r="E263" s="29"/>
      <c r="F263" s="40"/>
      <c r="G263" s="40"/>
      <c r="H263" s="40"/>
      <c r="I263" s="29"/>
      <c r="J263" s="29"/>
      <c r="K263" s="29"/>
      <c r="L263" s="29"/>
      <c r="M263" s="29"/>
      <c r="N263" s="29"/>
      <c r="O263" s="29"/>
      <c r="P263" s="29"/>
      <c r="Q263" s="29"/>
      <c r="R263" s="29"/>
      <c r="S263" s="29"/>
      <c r="T263" s="29"/>
      <c r="U263" s="29"/>
      <c r="V263" s="29"/>
      <c r="W263" s="29"/>
      <c r="X263" s="29"/>
      <c r="Y263" s="29"/>
      <c r="Z263" s="29"/>
    </row>
    <row r="264" ht="18.75" customHeight="1">
      <c r="A264" s="37"/>
      <c r="B264" s="38"/>
      <c r="C264" s="29"/>
      <c r="D264" s="39"/>
      <c r="E264" s="29"/>
      <c r="F264" s="40"/>
      <c r="G264" s="40"/>
      <c r="H264" s="40"/>
      <c r="I264" s="29"/>
      <c r="J264" s="29"/>
      <c r="K264" s="29"/>
      <c r="L264" s="29"/>
      <c r="M264" s="29"/>
      <c r="N264" s="29"/>
      <c r="O264" s="29"/>
      <c r="P264" s="29"/>
      <c r="Q264" s="29"/>
      <c r="R264" s="29"/>
      <c r="S264" s="29"/>
      <c r="T264" s="29"/>
      <c r="U264" s="29"/>
      <c r="V264" s="29"/>
      <c r="W264" s="29"/>
      <c r="X264" s="29"/>
      <c r="Y264" s="29"/>
      <c r="Z264" s="29"/>
    </row>
    <row r="265" ht="18.75" customHeight="1">
      <c r="A265" s="37"/>
      <c r="B265" s="38"/>
      <c r="C265" s="29"/>
      <c r="D265" s="39"/>
      <c r="E265" s="29"/>
      <c r="F265" s="40"/>
      <c r="G265" s="40"/>
      <c r="H265" s="40"/>
      <c r="I265" s="29"/>
      <c r="J265" s="29"/>
      <c r="K265" s="29"/>
      <c r="L265" s="29"/>
      <c r="M265" s="29"/>
      <c r="N265" s="29"/>
      <c r="O265" s="29"/>
      <c r="P265" s="29"/>
      <c r="Q265" s="29"/>
      <c r="R265" s="29"/>
      <c r="S265" s="29"/>
      <c r="T265" s="29"/>
      <c r="U265" s="29"/>
      <c r="V265" s="29"/>
      <c r="W265" s="29"/>
      <c r="X265" s="29"/>
      <c r="Y265" s="29"/>
      <c r="Z265" s="29"/>
    </row>
    <row r="266" ht="18.75" customHeight="1">
      <c r="A266" s="37"/>
      <c r="B266" s="38"/>
      <c r="C266" s="29"/>
      <c r="D266" s="39"/>
      <c r="E266" s="29"/>
      <c r="F266" s="40"/>
      <c r="G266" s="40"/>
      <c r="H266" s="40"/>
      <c r="I266" s="29"/>
      <c r="J266" s="29"/>
      <c r="K266" s="29"/>
      <c r="L266" s="29"/>
      <c r="M266" s="29"/>
      <c r="N266" s="29"/>
      <c r="O266" s="29"/>
      <c r="P266" s="29"/>
      <c r="Q266" s="29"/>
      <c r="R266" s="29"/>
      <c r="S266" s="29"/>
      <c r="T266" s="29"/>
      <c r="U266" s="29"/>
      <c r="V266" s="29"/>
      <c r="W266" s="29"/>
      <c r="X266" s="29"/>
      <c r="Y266" s="29"/>
      <c r="Z266" s="29"/>
    </row>
    <row r="267" ht="18.75" customHeight="1">
      <c r="A267" s="37"/>
      <c r="B267" s="38"/>
      <c r="C267" s="29"/>
      <c r="D267" s="39"/>
      <c r="E267" s="29"/>
      <c r="F267" s="40"/>
      <c r="G267" s="40"/>
      <c r="H267" s="40"/>
      <c r="I267" s="29"/>
      <c r="J267" s="29"/>
      <c r="K267" s="29"/>
      <c r="L267" s="29"/>
      <c r="M267" s="29"/>
      <c r="N267" s="29"/>
      <c r="O267" s="29"/>
      <c r="P267" s="29"/>
      <c r="Q267" s="29"/>
      <c r="R267" s="29"/>
      <c r="S267" s="29"/>
      <c r="T267" s="29"/>
      <c r="U267" s="29"/>
      <c r="V267" s="29"/>
      <c r="W267" s="29"/>
      <c r="X267" s="29"/>
      <c r="Y267" s="29"/>
      <c r="Z267" s="29"/>
    </row>
    <row r="268" ht="18.75" customHeight="1">
      <c r="A268" s="37"/>
      <c r="B268" s="38"/>
      <c r="C268" s="29"/>
      <c r="D268" s="39"/>
      <c r="E268" s="29"/>
      <c r="F268" s="40"/>
      <c r="G268" s="40"/>
      <c r="H268" s="40"/>
      <c r="I268" s="29"/>
      <c r="J268" s="29"/>
      <c r="K268" s="29"/>
      <c r="L268" s="29"/>
      <c r="M268" s="29"/>
      <c r="N268" s="29"/>
      <c r="O268" s="29"/>
      <c r="P268" s="29"/>
      <c r="Q268" s="29"/>
      <c r="R268" s="29"/>
      <c r="S268" s="29"/>
      <c r="T268" s="29"/>
      <c r="U268" s="29"/>
      <c r="V268" s="29"/>
      <c r="W268" s="29"/>
      <c r="X268" s="29"/>
      <c r="Y268" s="29"/>
      <c r="Z268" s="29"/>
    </row>
    <row r="269" ht="18.75" customHeight="1">
      <c r="A269" s="37"/>
      <c r="B269" s="38"/>
      <c r="C269" s="29"/>
      <c r="D269" s="39"/>
      <c r="E269" s="29"/>
      <c r="F269" s="40"/>
      <c r="G269" s="40"/>
      <c r="H269" s="40"/>
      <c r="I269" s="29"/>
      <c r="J269" s="29"/>
      <c r="K269" s="29"/>
      <c r="L269" s="29"/>
      <c r="M269" s="29"/>
      <c r="N269" s="29"/>
      <c r="O269" s="29"/>
      <c r="P269" s="29"/>
      <c r="Q269" s="29"/>
      <c r="R269" s="29"/>
      <c r="S269" s="29"/>
      <c r="T269" s="29"/>
      <c r="U269" s="29"/>
      <c r="V269" s="29"/>
      <c r="W269" s="29"/>
      <c r="X269" s="29"/>
      <c r="Y269" s="29"/>
      <c r="Z269" s="29"/>
    </row>
    <row r="270" ht="18.75" customHeight="1">
      <c r="A270" s="37"/>
      <c r="B270" s="38"/>
      <c r="C270" s="29"/>
      <c r="D270" s="39"/>
      <c r="E270" s="29"/>
      <c r="F270" s="40"/>
      <c r="G270" s="40"/>
      <c r="H270" s="40"/>
      <c r="I270" s="29"/>
      <c r="J270" s="29"/>
      <c r="K270" s="29"/>
      <c r="L270" s="29"/>
      <c r="M270" s="29"/>
      <c r="N270" s="29"/>
      <c r="O270" s="29"/>
      <c r="P270" s="29"/>
      <c r="Q270" s="29"/>
      <c r="R270" s="29"/>
      <c r="S270" s="29"/>
      <c r="T270" s="29"/>
      <c r="U270" s="29"/>
      <c r="V270" s="29"/>
      <c r="W270" s="29"/>
      <c r="X270" s="29"/>
      <c r="Y270" s="29"/>
      <c r="Z270" s="29"/>
    </row>
    <row r="271" ht="18.75" customHeight="1">
      <c r="A271" s="37"/>
      <c r="B271" s="38"/>
      <c r="C271" s="29"/>
      <c r="D271" s="39"/>
      <c r="E271" s="29"/>
      <c r="F271" s="40"/>
      <c r="G271" s="40"/>
      <c r="H271" s="40"/>
      <c r="I271" s="29"/>
      <c r="J271" s="29"/>
      <c r="K271" s="29"/>
      <c r="L271" s="29"/>
      <c r="M271" s="29"/>
      <c r="N271" s="29"/>
      <c r="O271" s="29"/>
      <c r="P271" s="29"/>
      <c r="Q271" s="29"/>
      <c r="R271" s="29"/>
      <c r="S271" s="29"/>
      <c r="T271" s="29"/>
      <c r="U271" s="29"/>
      <c r="V271" s="29"/>
      <c r="W271" s="29"/>
      <c r="X271" s="29"/>
      <c r="Y271" s="29"/>
      <c r="Z271" s="29"/>
    </row>
    <row r="272" ht="18.75" customHeight="1">
      <c r="A272" s="37"/>
      <c r="B272" s="38"/>
      <c r="C272" s="29"/>
      <c r="D272" s="39"/>
      <c r="E272" s="29"/>
      <c r="F272" s="40"/>
      <c r="G272" s="40"/>
      <c r="H272" s="40"/>
      <c r="I272" s="29"/>
      <c r="J272" s="29"/>
      <c r="K272" s="29"/>
      <c r="L272" s="29"/>
      <c r="M272" s="29"/>
      <c r="N272" s="29"/>
      <c r="O272" s="29"/>
      <c r="P272" s="29"/>
      <c r="Q272" s="29"/>
      <c r="R272" s="29"/>
      <c r="S272" s="29"/>
      <c r="T272" s="29"/>
      <c r="U272" s="29"/>
      <c r="V272" s="29"/>
      <c r="W272" s="29"/>
      <c r="X272" s="29"/>
      <c r="Y272" s="29"/>
      <c r="Z272" s="29"/>
    </row>
    <row r="273" ht="18.75" customHeight="1">
      <c r="A273" s="37"/>
      <c r="B273" s="38"/>
      <c r="C273" s="29"/>
      <c r="D273" s="39"/>
      <c r="E273" s="29"/>
      <c r="F273" s="40"/>
      <c r="G273" s="40"/>
      <c r="H273" s="40"/>
      <c r="I273" s="29"/>
      <c r="J273" s="29"/>
      <c r="K273" s="29"/>
      <c r="L273" s="29"/>
      <c r="M273" s="29"/>
      <c r="N273" s="29"/>
      <c r="O273" s="29"/>
      <c r="P273" s="29"/>
      <c r="Q273" s="29"/>
      <c r="R273" s="29"/>
      <c r="S273" s="29"/>
      <c r="T273" s="29"/>
      <c r="U273" s="29"/>
      <c r="V273" s="29"/>
      <c r="W273" s="29"/>
      <c r="X273" s="29"/>
      <c r="Y273" s="29"/>
      <c r="Z273" s="29"/>
    </row>
    <row r="274" ht="18.75" customHeight="1">
      <c r="A274" s="37"/>
      <c r="B274" s="38"/>
      <c r="C274" s="29"/>
      <c r="D274" s="39"/>
      <c r="E274" s="29"/>
      <c r="F274" s="40"/>
      <c r="G274" s="40"/>
      <c r="H274" s="40"/>
      <c r="I274" s="29"/>
      <c r="J274" s="29"/>
      <c r="K274" s="29"/>
      <c r="L274" s="29"/>
      <c r="M274" s="29"/>
      <c r="N274" s="29"/>
      <c r="O274" s="29"/>
      <c r="P274" s="29"/>
      <c r="Q274" s="29"/>
      <c r="R274" s="29"/>
      <c r="S274" s="29"/>
      <c r="T274" s="29"/>
      <c r="U274" s="29"/>
      <c r="V274" s="29"/>
      <c r="W274" s="29"/>
      <c r="X274" s="29"/>
      <c r="Y274" s="29"/>
      <c r="Z274" s="29"/>
    </row>
    <row r="275" ht="18.75" customHeight="1">
      <c r="A275" s="37"/>
      <c r="B275" s="38"/>
      <c r="C275" s="29"/>
      <c r="D275" s="39"/>
      <c r="E275" s="29"/>
      <c r="F275" s="40"/>
      <c r="G275" s="40"/>
      <c r="H275" s="40"/>
      <c r="I275" s="29"/>
      <c r="J275" s="29"/>
      <c r="K275" s="29"/>
      <c r="L275" s="29"/>
      <c r="M275" s="29"/>
      <c r="N275" s="29"/>
      <c r="O275" s="29"/>
      <c r="P275" s="29"/>
      <c r="Q275" s="29"/>
      <c r="R275" s="29"/>
      <c r="S275" s="29"/>
      <c r="T275" s="29"/>
      <c r="U275" s="29"/>
      <c r="V275" s="29"/>
      <c r="W275" s="29"/>
      <c r="X275" s="29"/>
      <c r="Y275" s="29"/>
      <c r="Z275" s="29"/>
    </row>
    <row r="276" ht="18.75" customHeight="1">
      <c r="A276" s="37"/>
      <c r="B276" s="38"/>
      <c r="C276" s="29"/>
      <c r="D276" s="39"/>
      <c r="E276" s="29"/>
      <c r="F276" s="40"/>
      <c r="G276" s="40"/>
      <c r="H276" s="40"/>
      <c r="I276" s="29"/>
      <c r="J276" s="29"/>
      <c r="K276" s="29"/>
      <c r="L276" s="29"/>
      <c r="M276" s="29"/>
      <c r="N276" s="29"/>
      <c r="O276" s="29"/>
      <c r="P276" s="29"/>
      <c r="Q276" s="29"/>
      <c r="R276" s="29"/>
      <c r="S276" s="29"/>
      <c r="T276" s="29"/>
      <c r="U276" s="29"/>
      <c r="V276" s="29"/>
      <c r="W276" s="29"/>
      <c r="X276" s="29"/>
      <c r="Y276" s="29"/>
      <c r="Z276" s="29"/>
    </row>
    <row r="277" ht="18.75" customHeight="1">
      <c r="A277" s="37"/>
      <c r="B277" s="38"/>
      <c r="C277" s="29"/>
      <c r="D277" s="39"/>
      <c r="E277" s="29"/>
      <c r="F277" s="40"/>
      <c r="G277" s="40"/>
      <c r="H277" s="40"/>
      <c r="I277" s="29"/>
      <c r="J277" s="29"/>
      <c r="K277" s="29"/>
      <c r="L277" s="29"/>
      <c r="M277" s="29"/>
      <c r="N277" s="29"/>
      <c r="O277" s="29"/>
      <c r="P277" s="29"/>
      <c r="Q277" s="29"/>
      <c r="R277" s="29"/>
      <c r="S277" s="29"/>
      <c r="T277" s="29"/>
      <c r="U277" s="29"/>
      <c r="V277" s="29"/>
      <c r="W277" s="29"/>
      <c r="X277" s="29"/>
      <c r="Y277" s="29"/>
      <c r="Z277" s="29"/>
    </row>
    <row r="278" ht="18.75" customHeight="1">
      <c r="A278" s="37"/>
      <c r="B278" s="38"/>
      <c r="C278" s="29"/>
      <c r="D278" s="39"/>
      <c r="E278" s="29"/>
      <c r="F278" s="40"/>
      <c r="G278" s="40"/>
      <c r="H278" s="40"/>
      <c r="I278" s="29"/>
      <c r="J278" s="29"/>
      <c r="K278" s="29"/>
      <c r="L278" s="29"/>
      <c r="M278" s="29"/>
      <c r="N278" s="29"/>
      <c r="O278" s="29"/>
      <c r="P278" s="29"/>
      <c r="Q278" s="29"/>
      <c r="R278" s="29"/>
      <c r="S278" s="29"/>
      <c r="T278" s="29"/>
      <c r="U278" s="29"/>
      <c r="V278" s="29"/>
      <c r="W278" s="29"/>
      <c r="X278" s="29"/>
      <c r="Y278" s="29"/>
      <c r="Z278" s="29"/>
    </row>
    <row r="279" ht="18.75" customHeight="1">
      <c r="A279" s="37"/>
      <c r="B279" s="38"/>
      <c r="C279" s="29"/>
      <c r="D279" s="39"/>
      <c r="E279" s="29"/>
      <c r="F279" s="40"/>
      <c r="G279" s="40"/>
      <c r="H279" s="40"/>
      <c r="I279" s="29"/>
      <c r="J279" s="29"/>
      <c r="K279" s="29"/>
      <c r="L279" s="29"/>
      <c r="M279" s="29"/>
      <c r="N279" s="29"/>
      <c r="O279" s="29"/>
      <c r="P279" s="29"/>
      <c r="Q279" s="29"/>
      <c r="R279" s="29"/>
      <c r="S279" s="29"/>
      <c r="T279" s="29"/>
      <c r="U279" s="29"/>
      <c r="V279" s="29"/>
      <c r="W279" s="29"/>
      <c r="X279" s="29"/>
      <c r="Y279" s="29"/>
      <c r="Z279" s="29"/>
    </row>
    <row r="280" ht="18.75" customHeight="1">
      <c r="A280" s="37"/>
      <c r="B280" s="38"/>
      <c r="C280" s="29"/>
      <c r="D280" s="39"/>
      <c r="E280" s="29"/>
      <c r="F280" s="40"/>
      <c r="G280" s="40"/>
      <c r="H280" s="40"/>
      <c r="I280" s="29"/>
      <c r="J280" s="29"/>
      <c r="K280" s="29"/>
      <c r="L280" s="29"/>
      <c r="M280" s="29"/>
      <c r="N280" s="29"/>
      <c r="O280" s="29"/>
      <c r="P280" s="29"/>
      <c r="Q280" s="29"/>
      <c r="R280" s="29"/>
      <c r="S280" s="29"/>
      <c r="T280" s="29"/>
      <c r="U280" s="29"/>
      <c r="V280" s="29"/>
      <c r="W280" s="29"/>
      <c r="X280" s="29"/>
      <c r="Y280" s="29"/>
      <c r="Z280" s="29"/>
    </row>
    <row r="281" ht="18.75" customHeight="1">
      <c r="A281" s="37"/>
      <c r="B281" s="38"/>
      <c r="C281" s="29"/>
      <c r="D281" s="39"/>
      <c r="E281" s="29"/>
      <c r="F281" s="40"/>
      <c r="G281" s="40"/>
      <c r="H281" s="40"/>
      <c r="I281" s="29"/>
      <c r="J281" s="29"/>
      <c r="K281" s="29"/>
      <c r="L281" s="29"/>
      <c r="M281" s="29"/>
      <c r="N281" s="29"/>
      <c r="O281" s="29"/>
      <c r="P281" s="29"/>
      <c r="Q281" s="29"/>
      <c r="R281" s="29"/>
      <c r="S281" s="29"/>
      <c r="T281" s="29"/>
      <c r="U281" s="29"/>
      <c r="V281" s="29"/>
      <c r="W281" s="29"/>
      <c r="X281" s="29"/>
      <c r="Y281" s="29"/>
      <c r="Z281" s="29"/>
    </row>
    <row r="282" ht="18.75" customHeight="1">
      <c r="A282" s="37"/>
      <c r="B282" s="38"/>
      <c r="C282" s="29"/>
      <c r="D282" s="39"/>
      <c r="E282" s="29"/>
      <c r="F282" s="40"/>
      <c r="G282" s="40"/>
      <c r="H282" s="40"/>
      <c r="I282" s="29"/>
      <c r="J282" s="29"/>
      <c r="K282" s="29"/>
      <c r="L282" s="29"/>
      <c r="M282" s="29"/>
      <c r="N282" s="29"/>
      <c r="O282" s="29"/>
      <c r="P282" s="29"/>
      <c r="Q282" s="29"/>
      <c r="R282" s="29"/>
      <c r="S282" s="29"/>
      <c r="T282" s="29"/>
      <c r="U282" s="29"/>
      <c r="V282" s="29"/>
      <c r="W282" s="29"/>
      <c r="X282" s="29"/>
      <c r="Y282" s="29"/>
      <c r="Z282" s="29"/>
    </row>
    <row r="283" ht="18.75" customHeight="1">
      <c r="A283" s="37"/>
      <c r="B283" s="38"/>
      <c r="C283" s="29"/>
      <c r="D283" s="39"/>
      <c r="E283" s="29"/>
      <c r="F283" s="40"/>
      <c r="G283" s="40"/>
      <c r="H283" s="40"/>
      <c r="I283" s="29"/>
      <c r="J283" s="29"/>
      <c r="K283" s="29"/>
      <c r="L283" s="29"/>
      <c r="M283" s="29"/>
      <c r="N283" s="29"/>
      <c r="O283" s="29"/>
      <c r="P283" s="29"/>
      <c r="Q283" s="29"/>
      <c r="R283" s="29"/>
      <c r="S283" s="29"/>
      <c r="T283" s="29"/>
      <c r="U283" s="29"/>
      <c r="V283" s="29"/>
      <c r="W283" s="29"/>
      <c r="X283" s="29"/>
      <c r="Y283" s="29"/>
      <c r="Z283" s="29"/>
    </row>
    <row r="284" ht="18.75" customHeight="1">
      <c r="A284" s="37"/>
      <c r="B284" s="38"/>
      <c r="C284" s="29"/>
      <c r="D284" s="39"/>
      <c r="E284" s="29"/>
      <c r="F284" s="40"/>
      <c r="G284" s="40"/>
      <c r="H284" s="40"/>
      <c r="I284" s="29"/>
      <c r="J284" s="29"/>
      <c r="K284" s="29"/>
      <c r="L284" s="29"/>
      <c r="M284" s="29"/>
      <c r="N284" s="29"/>
      <c r="O284" s="29"/>
      <c r="P284" s="29"/>
      <c r="Q284" s="29"/>
      <c r="R284" s="29"/>
      <c r="S284" s="29"/>
      <c r="T284" s="29"/>
      <c r="U284" s="29"/>
      <c r="V284" s="29"/>
      <c r="W284" s="29"/>
      <c r="X284" s="29"/>
      <c r="Y284" s="29"/>
      <c r="Z284" s="29"/>
    </row>
    <row r="285" ht="18.75" customHeight="1">
      <c r="A285" s="37"/>
      <c r="B285" s="38"/>
      <c r="C285" s="29"/>
      <c r="D285" s="39"/>
      <c r="E285" s="29"/>
      <c r="F285" s="40"/>
      <c r="G285" s="40"/>
      <c r="H285" s="40"/>
      <c r="I285" s="29"/>
      <c r="J285" s="29"/>
      <c r="K285" s="29"/>
      <c r="L285" s="29"/>
      <c r="M285" s="29"/>
      <c r="N285" s="29"/>
      <c r="O285" s="29"/>
      <c r="P285" s="29"/>
      <c r="Q285" s="29"/>
      <c r="R285" s="29"/>
      <c r="S285" s="29"/>
      <c r="T285" s="29"/>
      <c r="U285" s="29"/>
      <c r="V285" s="29"/>
      <c r="W285" s="29"/>
      <c r="X285" s="29"/>
      <c r="Y285" s="29"/>
      <c r="Z285" s="29"/>
    </row>
    <row r="286" ht="18.75" customHeight="1">
      <c r="A286" s="37"/>
      <c r="B286" s="38"/>
      <c r="C286" s="29"/>
      <c r="D286" s="39"/>
      <c r="E286" s="29"/>
      <c r="F286" s="40"/>
      <c r="G286" s="40"/>
      <c r="H286" s="40"/>
      <c r="I286" s="29"/>
      <c r="J286" s="29"/>
      <c r="K286" s="29"/>
      <c r="L286" s="29"/>
      <c r="M286" s="29"/>
      <c r="N286" s="29"/>
      <c r="O286" s="29"/>
      <c r="P286" s="29"/>
      <c r="Q286" s="29"/>
      <c r="R286" s="29"/>
      <c r="S286" s="29"/>
      <c r="T286" s="29"/>
      <c r="U286" s="29"/>
      <c r="V286" s="29"/>
      <c r="W286" s="29"/>
      <c r="X286" s="29"/>
      <c r="Y286" s="29"/>
      <c r="Z286" s="29"/>
    </row>
    <row r="287" ht="18.75" customHeight="1">
      <c r="A287" s="37"/>
      <c r="B287" s="38"/>
      <c r="C287" s="29"/>
      <c r="D287" s="39"/>
      <c r="E287" s="29"/>
      <c r="F287" s="40"/>
      <c r="G287" s="40"/>
      <c r="H287" s="40"/>
      <c r="I287" s="29"/>
      <c r="J287" s="29"/>
      <c r="K287" s="29"/>
      <c r="L287" s="29"/>
      <c r="M287" s="29"/>
      <c r="N287" s="29"/>
      <c r="O287" s="29"/>
      <c r="P287" s="29"/>
      <c r="Q287" s="29"/>
      <c r="R287" s="29"/>
      <c r="S287" s="29"/>
      <c r="T287" s="29"/>
      <c r="U287" s="29"/>
      <c r="V287" s="29"/>
      <c r="W287" s="29"/>
      <c r="X287" s="29"/>
      <c r="Y287" s="29"/>
      <c r="Z287" s="29"/>
    </row>
    <row r="288" ht="18.75" customHeight="1">
      <c r="A288" s="37"/>
      <c r="B288" s="38"/>
      <c r="C288" s="29"/>
      <c r="D288" s="39"/>
      <c r="E288" s="29"/>
      <c r="F288" s="40"/>
      <c r="G288" s="40"/>
      <c r="H288" s="40"/>
      <c r="I288" s="29"/>
      <c r="J288" s="29"/>
      <c r="K288" s="29"/>
      <c r="L288" s="29"/>
      <c r="M288" s="29"/>
      <c r="N288" s="29"/>
      <c r="O288" s="29"/>
      <c r="P288" s="29"/>
      <c r="Q288" s="29"/>
      <c r="R288" s="29"/>
      <c r="S288" s="29"/>
      <c r="T288" s="29"/>
      <c r="U288" s="29"/>
      <c r="V288" s="29"/>
      <c r="W288" s="29"/>
      <c r="X288" s="29"/>
      <c r="Y288" s="29"/>
      <c r="Z288" s="29"/>
    </row>
    <row r="289" ht="18.75" customHeight="1">
      <c r="A289" s="37"/>
      <c r="B289" s="38"/>
      <c r="C289" s="29"/>
      <c r="D289" s="39"/>
      <c r="E289" s="29"/>
      <c r="F289" s="40"/>
      <c r="G289" s="40"/>
      <c r="H289" s="40"/>
      <c r="I289" s="29"/>
      <c r="J289" s="29"/>
      <c r="K289" s="29"/>
      <c r="L289" s="29"/>
      <c r="M289" s="29"/>
      <c r="N289" s="29"/>
      <c r="O289" s="29"/>
      <c r="P289" s="29"/>
      <c r="Q289" s="29"/>
      <c r="R289" s="29"/>
      <c r="S289" s="29"/>
      <c r="T289" s="29"/>
      <c r="U289" s="29"/>
      <c r="V289" s="29"/>
      <c r="W289" s="29"/>
      <c r="X289" s="29"/>
      <c r="Y289" s="29"/>
      <c r="Z289" s="29"/>
    </row>
    <row r="290" ht="18.75" customHeight="1">
      <c r="A290" s="37"/>
      <c r="B290" s="38"/>
      <c r="C290" s="29"/>
      <c r="D290" s="39"/>
      <c r="E290" s="29"/>
      <c r="F290" s="40"/>
      <c r="G290" s="40"/>
      <c r="H290" s="40"/>
      <c r="I290" s="29"/>
      <c r="J290" s="29"/>
      <c r="K290" s="29"/>
      <c r="L290" s="29"/>
      <c r="M290" s="29"/>
      <c r="N290" s="29"/>
      <c r="O290" s="29"/>
      <c r="P290" s="29"/>
      <c r="Q290" s="29"/>
      <c r="R290" s="29"/>
      <c r="S290" s="29"/>
      <c r="T290" s="29"/>
      <c r="U290" s="29"/>
      <c r="V290" s="29"/>
      <c r="W290" s="29"/>
      <c r="X290" s="29"/>
      <c r="Y290" s="29"/>
      <c r="Z290" s="29"/>
    </row>
    <row r="291" ht="18.75" customHeight="1">
      <c r="A291" s="37"/>
      <c r="B291" s="38"/>
      <c r="C291" s="29"/>
      <c r="D291" s="39"/>
      <c r="E291" s="29"/>
      <c r="F291" s="40"/>
      <c r="G291" s="40"/>
      <c r="H291" s="40"/>
      <c r="I291" s="29"/>
      <c r="J291" s="29"/>
      <c r="K291" s="29"/>
      <c r="L291" s="29"/>
      <c r="M291" s="29"/>
      <c r="N291" s="29"/>
      <c r="O291" s="29"/>
      <c r="P291" s="29"/>
      <c r="Q291" s="29"/>
      <c r="R291" s="29"/>
      <c r="S291" s="29"/>
      <c r="T291" s="29"/>
      <c r="U291" s="29"/>
      <c r="V291" s="29"/>
      <c r="W291" s="29"/>
      <c r="X291" s="29"/>
      <c r="Y291" s="29"/>
      <c r="Z291" s="29"/>
    </row>
    <row r="292" ht="18.75" customHeight="1">
      <c r="A292" s="37"/>
      <c r="B292" s="38"/>
      <c r="C292" s="29"/>
      <c r="D292" s="39"/>
      <c r="E292" s="29"/>
      <c r="F292" s="40"/>
      <c r="G292" s="40"/>
      <c r="H292" s="40"/>
      <c r="I292" s="29"/>
      <c r="J292" s="29"/>
      <c r="K292" s="29"/>
      <c r="L292" s="29"/>
      <c r="M292" s="29"/>
      <c r="N292" s="29"/>
      <c r="O292" s="29"/>
      <c r="P292" s="29"/>
      <c r="Q292" s="29"/>
      <c r="R292" s="29"/>
      <c r="S292" s="29"/>
      <c r="T292" s="29"/>
      <c r="U292" s="29"/>
      <c r="V292" s="29"/>
      <c r="W292" s="29"/>
      <c r="X292" s="29"/>
      <c r="Y292" s="29"/>
      <c r="Z292" s="29"/>
    </row>
    <row r="293" ht="18.75" customHeight="1">
      <c r="A293" s="37"/>
      <c r="B293" s="38"/>
      <c r="C293" s="29"/>
      <c r="D293" s="39"/>
      <c r="E293" s="29"/>
      <c r="F293" s="40"/>
      <c r="G293" s="40"/>
      <c r="H293" s="40"/>
      <c r="I293" s="29"/>
      <c r="J293" s="29"/>
      <c r="K293" s="29"/>
      <c r="L293" s="29"/>
      <c r="M293" s="29"/>
      <c r="N293" s="29"/>
      <c r="O293" s="29"/>
      <c r="P293" s="29"/>
      <c r="Q293" s="29"/>
      <c r="R293" s="29"/>
      <c r="S293" s="29"/>
      <c r="T293" s="29"/>
      <c r="U293" s="29"/>
      <c r="V293" s="29"/>
      <c r="W293" s="29"/>
      <c r="X293" s="29"/>
      <c r="Y293" s="29"/>
      <c r="Z293" s="29"/>
    </row>
    <row r="294" ht="18.75" customHeight="1">
      <c r="A294" s="37"/>
      <c r="B294" s="38"/>
      <c r="C294" s="29"/>
      <c r="D294" s="39"/>
      <c r="E294" s="29"/>
      <c r="F294" s="40"/>
      <c r="G294" s="40"/>
      <c r="H294" s="40"/>
      <c r="I294" s="29"/>
      <c r="J294" s="29"/>
      <c r="K294" s="29"/>
      <c r="L294" s="29"/>
      <c r="M294" s="29"/>
      <c r="N294" s="29"/>
      <c r="O294" s="29"/>
      <c r="P294" s="29"/>
      <c r="Q294" s="29"/>
      <c r="R294" s="29"/>
      <c r="S294" s="29"/>
      <c r="T294" s="29"/>
      <c r="U294" s="29"/>
      <c r="V294" s="29"/>
      <c r="W294" s="29"/>
      <c r="X294" s="29"/>
      <c r="Y294" s="29"/>
      <c r="Z294" s="29"/>
    </row>
    <row r="295" ht="18.75" customHeight="1">
      <c r="A295" s="37"/>
      <c r="B295" s="38"/>
      <c r="C295" s="29"/>
      <c r="D295" s="39"/>
      <c r="E295" s="29"/>
      <c r="F295" s="40"/>
      <c r="G295" s="40"/>
      <c r="H295" s="40"/>
      <c r="I295" s="29"/>
      <c r="J295" s="29"/>
      <c r="K295" s="29"/>
      <c r="L295" s="29"/>
      <c r="M295" s="29"/>
      <c r="N295" s="29"/>
      <c r="O295" s="29"/>
      <c r="P295" s="29"/>
      <c r="Q295" s="29"/>
      <c r="R295" s="29"/>
      <c r="S295" s="29"/>
      <c r="T295" s="29"/>
      <c r="U295" s="29"/>
      <c r="V295" s="29"/>
      <c r="W295" s="29"/>
      <c r="X295" s="29"/>
      <c r="Y295" s="29"/>
      <c r="Z295" s="29"/>
    </row>
    <row r="296" ht="18.75" customHeight="1">
      <c r="A296" s="37"/>
      <c r="B296" s="38"/>
      <c r="C296" s="29"/>
      <c r="D296" s="39"/>
      <c r="E296" s="29"/>
      <c r="F296" s="40"/>
      <c r="G296" s="40"/>
      <c r="H296" s="40"/>
      <c r="I296" s="29"/>
      <c r="J296" s="29"/>
      <c r="K296" s="29"/>
      <c r="L296" s="29"/>
      <c r="M296" s="29"/>
      <c r="N296" s="29"/>
      <c r="O296" s="29"/>
      <c r="P296" s="29"/>
      <c r="Q296" s="29"/>
      <c r="R296" s="29"/>
      <c r="S296" s="29"/>
      <c r="T296" s="29"/>
      <c r="U296" s="29"/>
      <c r="V296" s="29"/>
      <c r="W296" s="29"/>
      <c r="X296" s="29"/>
      <c r="Y296" s="29"/>
      <c r="Z296" s="29"/>
    </row>
    <row r="297" ht="18.75" customHeight="1">
      <c r="A297" s="37"/>
      <c r="B297" s="38"/>
      <c r="C297" s="29"/>
      <c r="D297" s="39"/>
      <c r="E297" s="29"/>
      <c r="F297" s="40"/>
      <c r="G297" s="40"/>
      <c r="H297" s="40"/>
      <c r="I297" s="29"/>
      <c r="J297" s="29"/>
      <c r="K297" s="29"/>
      <c r="L297" s="29"/>
      <c r="M297" s="29"/>
      <c r="N297" s="29"/>
      <c r="O297" s="29"/>
      <c r="P297" s="29"/>
      <c r="Q297" s="29"/>
      <c r="R297" s="29"/>
      <c r="S297" s="29"/>
      <c r="T297" s="29"/>
      <c r="U297" s="29"/>
      <c r="V297" s="29"/>
      <c r="W297" s="29"/>
      <c r="X297" s="29"/>
      <c r="Y297" s="29"/>
      <c r="Z297" s="29"/>
    </row>
    <row r="298" ht="18.75" customHeight="1">
      <c r="A298" s="37"/>
      <c r="B298" s="38"/>
      <c r="C298" s="29"/>
      <c r="D298" s="39"/>
      <c r="E298" s="29"/>
      <c r="F298" s="40"/>
      <c r="G298" s="40"/>
      <c r="H298" s="40"/>
      <c r="I298" s="29"/>
      <c r="J298" s="29"/>
      <c r="K298" s="29"/>
      <c r="L298" s="29"/>
      <c r="M298" s="29"/>
      <c r="N298" s="29"/>
      <c r="O298" s="29"/>
      <c r="P298" s="29"/>
      <c r="Q298" s="29"/>
      <c r="R298" s="29"/>
      <c r="S298" s="29"/>
      <c r="T298" s="29"/>
      <c r="U298" s="29"/>
      <c r="V298" s="29"/>
      <c r="W298" s="29"/>
      <c r="X298" s="29"/>
      <c r="Y298" s="29"/>
      <c r="Z298" s="29"/>
    </row>
    <row r="299" ht="18.75" customHeight="1">
      <c r="A299" s="37"/>
      <c r="B299" s="38"/>
      <c r="C299" s="29"/>
      <c r="D299" s="39"/>
      <c r="E299" s="29"/>
      <c r="F299" s="40"/>
      <c r="G299" s="40"/>
      <c r="H299" s="40"/>
      <c r="I299" s="29"/>
      <c r="J299" s="29"/>
      <c r="K299" s="29"/>
      <c r="L299" s="29"/>
      <c r="M299" s="29"/>
      <c r="N299" s="29"/>
      <c r="O299" s="29"/>
      <c r="P299" s="29"/>
      <c r="Q299" s="29"/>
      <c r="R299" s="29"/>
      <c r="S299" s="29"/>
      <c r="T299" s="29"/>
      <c r="U299" s="29"/>
      <c r="V299" s="29"/>
      <c r="W299" s="29"/>
      <c r="X299" s="29"/>
      <c r="Y299" s="29"/>
      <c r="Z299" s="29"/>
    </row>
    <row r="300" ht="18.75" customHeight="1">
      <c r="A300" s="37"/>
      <c r="B300" s="38"/>
      <c r="C300" s="29"/>
      <c r="D300" s="39"/>
      <c r="E300" s="29"/>
      <c r="F300" s="40"/>
      <c r="G300" s="40"/>
      <c r="H300" s="40"/>
      <c r="I300" s="29"/>
      <c r="J300" s="29"/>
      <c r="K300" s="29"/>
      <c r="L300" s="29"/>
      <c r="M300" s="29"/>
      <c r="N300" s="29"/>
      <c r="O300" s="29"/>
      <c r="P300" s="29"/>
      <c r="Q300" s="29"/>
      <c r="R300" s="29"/>
      <c r="S300" s="29"/>
      <c r="T300" s="29"/>
      <c r="U300" s="29"/>
      <c r="V300" s="29"/>
      <c r="W300" s="29"/>
      <c r="X300" s="29"/>
      <c r="Y300" s="29"/>
      <c r="Z300" s="29"/>
    </row>
    <row r="301" ht="18.75" customHeight="1">
      <c r="A301" s="37"/>
      <c r="B301" s="38"/>
      <c r="C301" s="29"/>
      <c r="D301" s="39"/>
      <c r="E301" s="29"/>
      <c r="F301" s="40"/>
      <c r="G301" s="40"/>
      <c r="H301" s="40"/>
      <c r="I301" s="29"/>
      <c r="J301" s="29"/>
      <c r="K301" s="29"/>
      <c r="L301" s="29"/>
      <c r="M301" s="29"/>
      <c r="N301" s="29"/>
      <c r="O301" s="29"/>
      <c r="P301" s="29"/>
      <c r="Q301" s="29"/>
      <c r="R301" s="29"/>
      <c r="S301" s="29"/>
      <c r="T301" s="29"/>
      <c r="U301" s="29"/>
      <c r="V301" s="29"/>
      <c r="W301" s="29"/>
      <c r="X301" s="29"/>
      <c r="Y301" s="29"/>
      <c r="Z301" s="29"/>
    </row>
    <row r="302" ht="18.75" customHeight="1">
      <c r="A302" s="37"/>
      <c r="B302" s="38"/>
      <c r="C302" s="29"/>
      <c r="D302" s="39"/>
      <c r="E302" s="29"/>
      <c r="F302" s="40"/>
      <c r="G302" s="40"/>
      <c r="H302" s="40"/>
      <c r="I302" s="29"/>
      <c r="J302" s="29"/>
      <c r="K302" s="29"/>
      <c r="L302" s="29"/>
      <c r="M302" s="29"/>
      <c r="N302" s="29"/>
      <c r="O302" s="29"/>
      <c r="P302" s="29"/>
      <c r="Q302" s="29"/>
      <c r="R302" s="29"/>
      <c r="S302" s="29"/>
      <c r="T302" s="29"/>
      <c r="U302" s="29"/>
      <c r="V302" s="29"/>
      <c r="W302" s="29"/>
      <c r="X302" s="29"/>
      <c r="Y302" s="29"/>
      <c r="Z302" s="29"/>
    </row>
    <row r="303" ht="18.75" customHeight="1">
      <c r="A303" s="37"/>
      <c r="B303" s="38"/>
      <c r="C303" s="29"/>
      <c r="D303" s="39"/>
      <c r="E303" s="29"/>
      <c r="F303" s="40"/>
      <c r="G303" s="40"/>
      <c r="H303" s="40"/>
      <c r="I303" s="29"/>
      <c r="J303" s="29"/>
      <c r="K303" s="29"/>
      <c r="L303" s="29"/>
      <c r="M303" s="29"/>
      <c r="N303" s="29"/>
      <c r="O303" s="29"/>
      <c r="P303" s="29"/>
      <c r="Q303" s="29"/>
      <c r="R303" s="29"/>
      <c r="S303" s="29"/>
      <c r="T303" s="29"/>
      <c r="U303" s="29"/>
      <c r="V303" s="29"/>
      <c r="W303" s="29"/>
      <c r="X303" s="29"/>
      <c r="Y303" s="29"/>
      <c r="Z303" s="29"/>
    </row>
    <row r="304" ht="18.75" customHeight="1">
      <c r="A304" s="37"/>
      <c r="B304" s="38"/>
      <c r="C304" s="29"/>
      <c r="D304" s="39"/>
      <c r="E304" s="29"/>
      <c r="F304" s="40"/>
      <c r="G304" s="40"/>
      <c r="H304" s="40"/>
      <c r="I304" s="29"/>
      <c r="J304" s="29"/>
      <c r="K304" s="29"/>
      <c r="L304" s="29"/>
      <c r="M304" s="29"/>
      <c r="N304" s="29"/>
      <c r="O304" s="29"/>
      <c r="P304" s="29"/>
      <c r="Q304" s="29"/>
      <c r="R304" s="29"/>
      <c r="S304" s="29"/>
      <c r="T304" s="29"/>
      <c r="U304" s="29"/>
      <c r="V304" s="29"/>
      <c r="W304" s="29"/>
      <c r="X304" s="29"/>
      <c r="Y304" s="29"/>
      <c r="Z304" s="29"/>
    </row>
    <row r="305" ht="18.75" customHeight="1">
      <c r="A305" s="37"/>
      <c r="B305" s="38"/>
      <c r="C305" s="29"/>
      <c r="D305" s="39"/>
      <c r="E305" s="29"/>
      <c r="F305" s="40"/>
      <c r="G305" s="40"/>
      <c r="H305" s="40"/>
      <c r="I305" s="29"/>
      <c r="J305" s="29"/>
      <c r="K305" s="29"/>
      <c r="L305" s="29"/>
      <c r="M305" s="29"/>
      <c r="N305" s="29"/>
      <c r="O305" s="29"/>
      <c r="P305" s="29"/>
      <c r="Q305" s="29"/>
      <c r="R305" s="29"/>
      <c r="S305" s="29"/>
      <c r="T305" s="29"/>
      <c r="U305" s="29"/>
      <c r="V305" s="29"/>
      <c r="W305" s="29"/>
      <c r="X305" s="29"/>
      <c r="Y305" s="29"/>
      <c r="Z305" s="29"/>
    </row>
    <row r="306" ht="18.75" customHeight="1">
      <c r="A306" s="37"/>
      <c r="B306" s="38"/>
      <c r="C306" s="29"/>
      <c r="D306" s="39"/>
      <c r="E306" s="29"/>
      <c r="F306" s="40"/>
      <c r="G306" s="40"/>
      <c r="H306" s="40"/>
      <c r="I306" s="29"/>
      <c r="J306" s="29"/>
      <c r="K306" s="29"/>
      <c r="L306" s="29"/>
      <c r="M306" s="29"/>
      <c r="N306" s="29"/>
      <c r="O306" s="29"/>
      <c r="P306" s="29"/>
      <c r="Q306" s="29"/>
      <c r="R306" s="29"/>
      <c r="S306" s="29"/>
      <c r="T306" s="29"/>
      <c r="U306" s="29"/>
      <c r="V306" s="29"/>
      <c r="W306" s="29"/>
      <c r="X306" s="29"/>
      <c r="Y306" s="29"/>
      <c r="Z306" s="29"/>
    </row>
    <row r="307" ht="18.75" customHeight="1">
      <c r="A307" s="37"/>
      <c r="B307" s="38"/>
      <c r="C307" s="29"/>
      <c r="D307" s="39"/>
      <c r="E307" s="29"/>
      <c r="F307" s="40"/>
      <c r="G307" s="40"/>
      <c r="H307" s="40"/>
      <c r="I307" s="29"/>
      <c r="J307" s="29"/>
      <c r="K307" s="29"/>
      <c r="L307" s="29"/>
      <c r="M307" s="29"/>
      <c r="N307" s="29"/>
      <c r="O307" s="29"/>
      <c r="P307" s="29"/>
      <c r="Q307" s="29"/>
      <c r="R307" s="29"/>
      <c r="S307" s="29"/>
      <c r="T307" s="29"/>
      <c r="U307" s="29"/>
      <c r="V307" s="29"/>
      <c r="W307" s="29"/>
      <c r="X307" s="29"/>
      <c r="Y307" s="29"/>
      <c r="Z307" s="29"/>
    </row>
    <row r="308" ht="18.75" customHeight="1">
      <c r="A308" s="37"/>
      <c r="B308" s="38"/>
      <c r="C308" s="29"/>
      <c r="D308" s="39"/>
      <c r="E308" s="29"/>
      <c r="F308" s="40"/>
      <c r="G308" s="40"/>
      <c r="H308" s="40"/>
      <c r="I308" s="29"/>
      <c r="J308" s="29"/>
      <c r="K308" s="29"/>
      <c r="L308" s="29"/>
      <c r="M308" s="29"/>
      <c r="N308" s="29"/>
      <c r="O308" s="29"/>
      <c r="P308" s="29"/>
      <c r="Q308" s="29"/>
      <c r="R308" s="29"/>
      <c r="S308" s="29"/>
      <c r="T308" s="29"/>
      <c r="U308" s="29"/>
      <c r="V308" s="29"/>
      <c r="W308" s="29"/>
      <c r="X308" s="29"/>
      <c r="Y308" s="29"/>
      <c r="Z308" s="29"/>
    </row>
    <row r="309" ht="18.75" customHeight="1">
      <c r="A309" s="37"/>
      <c r="B309" s="38"/>
      <c r="C309" s="29"/>
      <c r="D309" s="39"/>
      <c r="E309" s="29"/>
      <c r="F309" s="40"/>
      <c r="G309" s="40"/>
      <c r="H309" s="40"/>
      <c r="I309" s="29"/>
      <c r="J309" s="29"/>
      <c r="K309" s="29"/>
      <c r="L309" s="29"/>
      <c r="M309" s="29"/>
      <c r="N309" s="29"/>
      <c r="O309" s="29"/>
      <c r="P309" s="29"/>
      <c r="Q309" s="29"/>
      <c r="R309" s="29"/>
      <c r="S309" s="29"/>
      <c r="T309" s="29"/>
      <c r="U309" s="29"/>
      <c r="V309" s="29"/>
      <c r="W309" s="29"/>
      <c r="X309" s="29"/>
      <c r="Y309" s="29"/>
      <c r="Z309" s="29"/>
    </row>
    <row r="310" ht="18.75" customHeight="1">
      <c r="A310" s="37"/>
      <c r="B310" s="38"/>
      <c r="C310" s="29"/>
      <c r="D310" s="39"/>
      <c r="E310" s="29"/>
      <c r="F310" s="40"/>
      <c r="G310" s="40"/>
      <c r="H310" s="40"/>
      <c r="I310" s="29"/>
      <c r="J310" s="29"/>
      <c r="K310" s="29"/>
      <c r="L310" s="29"/>
      <c r="M310" s="29"/>
      <c r="N310" s="29"/>
      <c r="O310" s="29"/>
      <c r="P310" s="29"/>
      <c r="Q310" s="29"/>
      <c r="R310" s="29"/>
      <c r="S310" s="29"/>
      <c r="T310" s="29"/>
      <c r="U310" s="29"/>
      <c r="V310" s="29"/>
      <c r="W310" s="29"/>
      <c r="X310" s="29"/>
      <c r="Y310" s="29"/>
      <c r="Z310" s="29"/>
    </row>
    <row r="311" ht="18.75" customHeight="1">
      <c r="A311" s="37"/>
      <c r="B311" s="38"/>
      <c r="C311" s="29"/>
      <c r="D311" s="39"/>
      <c r="E311" s="29"/>
      <c r="F311" s="40"/>
      <c r="G311" s="40"/>
      <c r="H311" s="40"/>
      <c r="I311" s="29"/>
      <c r="J311" s="29"/>
      <c r="K311" s="29"/>
      <c r="L311" s="29"/>
      <c r="M311" s="29"/>
      <c r="N311" s="29"/>
      <c r="O311" s="29"/>
      <c r="P311" s="29"/>
      <c r="Q311" s="29"/>
      <c r="R311" s="29"/>
      <c r="S311" s="29"/>
      <c r="T311" s="29"/>
      <c r="U311" s="29"/>
      <c r="V311" s="29"/>
      <c r="W311" s="29"/>
      <c r="X311" s="29"/>
      <c r="Y311" s="29"/>
      <c r="Z311" s="29"/>
    </row>
    <row r="312" ht="18.75" customHeight="1">
      <c r="A312" s="37"/>
      <c r="B312" s="38"/>
      <c r="C312" s="29"/>
      <c r="D312" s="39"/>
      <c r="E312" s="29"/>
      <c r="F312" s="40"/>
      <c r="G312" s="40"/>
      <c r="H312" s="40"/>
      <c r="I312" s="29"/>
      <c r="J312" s="29"/>
      <c r="K312" s="29"/>
      <c r="L312" s="29"/>
      <c r="M312" s="29"/>
      <c r="N312" s="29"/>
      <c r="O312" s="29"/>
      <c r="P312" s="29"/>
      <c r="Q312" s="29"/>
      <c r="R312" s="29"/>
      <c r="S312" s="29"/>
      <c r="T312" s="29"/>
      <c r="U312" s="29"/>
      <c r="V312" s="29"/>
      <c r="W312" s="29"/>
      <c r="X312" s="29"/>
      <c r="Y312" s="29"/>
      <c r="Z312" s="29"/>
    </row>
    <row r="313" ht="18.75" customHeight="1">
      <c r="A313" s="37"/>
      <c r="B313" s="38"/>
      <c r="C313" s="29"/>
      <c r="D313" s="39"/>
      <c r="E313" s="29"/>
      <c r="F313" s="40"/>
      <c r="G313" s="40"/>
      <c r="H313" s="40"/>
      <c r="I313" s="29"/>
      <c r="J313" s="29"/>
      <c r="K313" s="29"/>
      <c r="L313" s="29"/>
      <c r="M313" s="29"/>
      <c r="N313" s="29"/>
      <c r="O313" s="29"/>
      <c r="P313" s="29"/>
      <c r="Q313" s="29"/>
      <c r="R313" s="29"/>
      <c r="S313" s="29"/>
      <c r="T313" s="29"/>
      <c r="U313" s="29"/>
      <c r="V313" s="29"/>
      <c r="W313" s="29"/>
      <c r="X313" s="29"/>
      <c r="Y313" s="29"/>
      <c r="Z313" s="29"/>
    </row>
    <row r="314" ht="18.75" customHeight="1">
      <c r="A314" s="37"/>
      <c r="B314" s="38"/>
      <c r="C314" s="29"/>
      <c r="D314" s="39"/>
      <c r="E314" s="29"/>
      <c r="F314" s="40"/>
      <c r="G314" s="40"/>
      <c r="H314" s="40"/>
      <c r="I314" s="29"/>
      <c r="J314" s="29"/>
      <c r="K314" s="29"/>
      <c r="L314" s="29"/>
      <c r="M314" s="29"/>
      <c r="N314" s="29"/>
      <c r="O314" s="29"/>
      <c r="P314" s="29"/>
      <c r="Q314" s="29"/>
      <c r="R314" s="29"/>
      <c r="S314" s="29"/>
      <c r="T314" s="29"/>
      <c r="U314" s="29"/>
      <c r="V314" s="29"/>
      <c r="W314" s="29"/>
      <c r="X314" s="29"/>
      <c r="Y314" s="29"/>
      <c r="Z314" s="29"/>
    </row>
    <row r="315" ht="18.75" customHeight="1">
      <c r="A315" s="37"/>
      <c r="B315" s="38"/>
      <c r="C315" s="29"/>
      <c r="D315" s="39"/>
      <c r="E315" s="29"/>
      <c r="F315" s="40"/>
      <c r="G315" s="40"/>
      <c r="H315" s="40"/>
      <c r="I315" s="29"/>
      <c r="J315" s="29"/>
      <c r="K315" s="29"/>
      <c r="L315" s="29"/>
      <c r="M315" s="29"/>
      <c r="N315" s="29"/>
      <c r="O315" s="29"/>
      <c r="P315" s="29"/>
      <c r="Q315" s="29"/>
      <c r="R315" s="29"/>
      <c r="S315" s="29"/>
      <c r="T315" s="29"/>
      <c r="U315" s="29"/>
      <c r="V315" s="29"/>
      <c r="W315" s="29"/>
      <c r="X315" s="29"/>
      <c r="Y315" s="29"/>
      <c r="Z315" s="29"/>
    </row>
    <row r="316" ht="18.75" customHeight="1">
      <c r="A316" s="37"/>
      <c r="B316" s="38"/>
      <c r="C316" s="29"/>
      <c r="D316" s="39"/>
      <c r="E316" s="29"/>
      <c r="F316" s="40"/>
      <c r="G316" s="40"/>
      <c r="H316" s="40"/>
      <c r="I316" s="29"/>
      <c r="J316" s="29"/>
      <c r="K316" s="29"/>
      <c r="L316" s="29"/>
      <c r="M316" s="29"/>
      <c r="N316" s="29"/>
      <c r="O316" s="29"/>
      <c r="P316" s="29"/>
      <c r="Q316" s="29"/>
      <c r="R316" s="29"/>
      <c r="S316" s="29"/>
      <c r="T316" s="29"/>
      <c r="U316" s="29"/>
      <c r="V316" s="29"/>
      <c r="W316" s="29"/>
      <c r="X316" s="29"/>
      <c r="Y316" s="29"/>
      <c r="Z316" s="29"/>
    </row>
    <row r="317" ht="18.75" customHeight="1">
      <c r="A317" s="37"/>
      <c r="B317" s="38"/>
      <c r="C317" s="29"/>
      <c r="D317" s="39"/>
      <c r="E317" s="29"/>
      <c r="F317" s="40"/>
      <c r="G317" s="40"/>
      <c r="H317" s="40"/>
      <c r="I317" s="29"/>
      <c r="J317" s="29"/>
      <c r="K317" s="29"/>
      <c r="L317" s="29"/>
      <c r="M317" s="29"/>
      <c r="N317" s="29"/>
      <c r="O317" s="29"/>
      <c r="P317" s="29"/>
      <c r="Q317" s="29"/>
      <c r="R317" s="29"/>
      <c r="S317" s="29"/>
      <c r="T317" s="29"/>
      <c r="U317" s="29"/>
      <c r="V317" s="29"/>
      <c r="W317" s="29"/>
      <c r="X317" s="29"/>
      <c r="Y317" s="29"/>
      <c r="Z317" s="29"/>
    </row>
    <row r="318" ht="18.75" customHeight="1">
      <c r="A318" s="37"/>
      <c r="B318" s="38"/>
      <c r="C318" s="29"/>
      <c r="D318" s="39"/>
      <c r="E318" s="29"/>
      <c r="F318" s="40"/>
      <c r="G318" s="40"/>
      <c r="H318" s="40"/>
      <c r="I318" s="29"/>
      <c r="J318" s="29"/>
      <c r="K318" s="29"/>
      <c r="L318" s="29"/>
      <c r="M318" s="29"/>
      <c r="N318" s="29"/>
      <c r="O318" s="29"/>
      <c r="P318" s="29"/>
      <c r="Q318" s="29"/>
      <c r="R318" s="29"/>
      <c r="S318" s="29"/>
      <c r="T318" s="29"/>
      <c r="U318" s="29"/>
      <c r="V318" s="29"/>
      <c r="W318" s="29"/>
      <c r="X318" s="29"/>
      <c r="Y318" s="29"/>
      <c r="Z318" s="29"/>
    </row>
    <row r="319" ht="18.75" customHeight="1">
      <c r="A319" s="37"/>
      <c r="B319" s="38"/>
      <c r="C319" s="29"/>
      <c r="D319" s="39"/>
      <c r="E319" s="29"/>
      <c r="F319" s="40"/>
      <c r="G319" s="40"/>
      <c r="H319" s="40"/>
      <c r="I319" s="29"/>
      <c r="J319" s="29"/>
      <c r="K319" s="29"/>
      <c r="L319" s="29"/>
      <c r="M319" s="29"/>
      <c r="N319" s="29"/>
      <c r="O319" s="29"/>
      <c r="P319" s="29"/>
      <c r="Q319" s="29"/>
      <c r="R319" s="29"/>
      <c r="S319" s="29"/>
      <c r="T319" s="29"/>
      <c r="U319" s="29"/>
      <c r="V319" s="29"/>
      <c r="W319" s="29"/>
      <c r="X319" s="29"/>
      <c r="Y319" s="29"/>
      <c r="Z319" s="29"/>
    </row>
    <row r="320" ht="18.75" customHeight="1">
      <c r="A320" s="37"/>
      <c r="B320" s="38"/>
      <c r="C320" s="29"/>
      <c r="D320" s="39"/>
      <c r="E320" s="29"/>
      <c r="F320" s="40"/>
      <c r="G320" s="40"/>
      <c r="H320" s="40"/>
      <c r="I320" s="29"/>
      <c r="J320" s="29"/>
      <c r="K320" s="29"/>
      <c r="L320" s="29"/>
      <c r="M320" s="29"/>
      <c r="N320" s="29"/>
      <c r="O320" s="29"/>
      <c r="P320" s="29"/>
      <c r="Q320" s="29"/>
      <c r="R320" s="29"/>
      <c r="S320" s="29"/>
      <c r="T320" s="29"/>
      <c r="U320" s="29"/>
      <c r="V320" s="29"/>
      <c r="W320" s="29"/>
      <c r="X320" s="29"/>
      <c r="Y320" s="29"/>
      <c r="Z320" s="29"/>
    </row>
    <row r="321" ht="18.75" customHeight="1">
      <c r="A321" s="37"/>
      <c r="B321" s="38"/>
      <c r="C321" s="29"/>
      <c r="D321" s="39"/>
      <c r="E321" s="29"/>
      <c r="F321" s="40"/>
      <c r="G321" s="40"/>
      <c r="H321" s="40"/>
      <c r="I321" s="29"/>
      <c r="J321" s="29"/>
      <c r="K321" s="29"/>
      <c r="L321" s="29"/>
      <c r="M321" s="29"/>
      <c r="N321" s="29"/>
      <c r="O321" s="29"/>
      <c r="P321" s="29"/>
      <c r="Q321" s="29"/>
      <c r="R321" s="29"/>
      <c r="S321" s="29"/>
      <c r="T321" s="29"/>
      <c r="U321" s="29"/>
      <c r="V321" s="29"/>
      <c r="W321" s="29"/>
      <c r="X321" s="29"/>
      <c r="Y321" s="29"/>
      <c r="Z321" s="29"/>
    </row>
    <row r="322" ht="18.75" customHeight="1">
      <c r="A322" s="37"/>
      <c r="B322" s="38"/>
      <c r="C322" s="29"/>
      <c r="D322" s="39"/>
      <c r="E322" s="29"/>
      <c r="F322" s="40"/>
      <c r="G322" s="40"/>
      <c r="H322" s="40"/>
      <c r="I322" s="29"/>
      <c r="J322" s="29"/>
      <c r="K322" s="29"/>
      <c r="L322" s="29"/>
      <c r="M322" s="29"/>
      <c r="N322" s="29"/>
      <c r="O322" s="29"/>
      <c r="P322" s="29"/>
      <c r="Q322" s="29"/>
      <c r="R322" s="29"/>
      <c r="S322" s="29"/>
      <c r="T322" s="29"/>
      <c r="U322" s="29"/>
      <c r="V322" s="29"/>
      <c r="W322" s="29"/>
      <c r="X322" s="29"/>
      <c r="Y322" s="29"/>
      <c r="Z322" s="29"/>
    </row>
    <row r="323" ht="18.75" customHeight="1">
      <c r="A323" s="37"/>
      <c r="B323" s="38"/>
      <c r="C323" s="29"/>
      <c r="D323" s="39"/>
      <c r="E323" s="29"/>
      <c r="F323" s="40"/>
      <c r="G323" s="40"/>
      <c r="H323" s="40"/>
      <c r="I323" s="29"/>
      <c r="J323" s="29"/>
      <c r="K323" s="29"/>
      <c r="L323" s="29"/>
      <c r="M323" s="29"/>
      <c r="N323" s="29"/>
      <c r="O323" s="29"/>
      <c r="P323" s="29"/>
      <c r="Q323" s="29"/>
      <c r="R323" s="29"/>
      <c r="S323" s="29"/>
      <c r="T323" s="29"/>
      <c r="U323" s="29"/>
      <c r="V323" s="29"/>
      <c r="W323" s="29"/>
      <c r="X323" s="29"/>
      <c r="Y323" s="29"/>
      <c r="Z323" s="29"/>
    </row>
    <row r="324" ht="18.75" customHeight="1">
      <c r="A324" s="37"/>
      <c r="B324" s="38"/>
      <c r="C324" s="29"/>
      <c r="D324" s="39"/>
      <c r="E324" s="29"/>
      <c r="F324" s="40"/>
      <c r="G324" s="40"/>
      <c r="H324" s="40"/>
      <c r="I324" s="29"/>
      <c r="J324" s="29"/>
      <c r="K324" s="29"/>
      <c r="L324" s="29"/>
      <c r="M324" s="29"/>
      <c r="N324" s="29"/>
      <c r="O324" s="29"/>
      <c r="P324" s="29"/>
      <c r="Q324" s="29"/>
      <c r="R324" s="29"/>
      <c r="S324" s="29"/>
      <c r="T324" s="29"/>
      <c r="U324" s="29"/>
      <c r="V324" s="29"/>
      <c r="W324" s="29"/>
      <c r="X324" s="29"/>
      <c r="Y324" s="29"/>
      <c r="Z324" s="29"/>
    </row>
    <row r="325" ht="18.75" customHeight="1">
      <c r="A325" s="37"/>
      <c r="B325" s="38"/>
      <c r="C325" s="29"/>
      <c r="D325" s="39"/>
      <c r="E325" s="29"/>
      <c r="F325" s="40"/>
      <c r="G325" s="40"/>
      <c r="H325" s="40"/>
      <c r="I325" s="29"/>
      <c r="J325" s="29"/>
      <c r="K325" s="29"/>
      <c r="L325" s="29"/>
      <c r="M325" s="29"/>
      <c r="N325" s="29"/>
      <c r="O325" s="29"/>
      <c r="P325" s="29"/>
      <c r="Q325" s="29"/>
      <c r="R325" s="29"/>
      <c r="S325" s="29"/>
      <c r="T325" s="29"/>
      <c r="U325" s="29"/>
      <c r="V325" s="29"/>
      <c r="W325" s="29"/>
      <c r="X325" s="29"/>
      <c r="Y325" s="29"/>
      <c r="Z325" s="29"/>
    </row>
    <row r="326" ht="18.75" customHeight="1">
      <c r="A326" s="37"/>
      <c r="B326" s="38"/>
      <c r="C326" s="29"/>
      <c r="D326" s="39"/>
      <c r="E326" s="29"/>
      <c r="F326" s="40"/>
      <c r="G326" s="40"/>
      <c r="H326" s="40"/>
      <c r="I326" s="29"/>
      <c r="J326" s="29"/>
      <c r="K326" s="29"/>
      <c r="L326" s="29"/>
      <c r="M326" s="29"/>
      <c r="N326" s="29"/>
      <c r="O326" s="29"/>
      <c r="P326" s="29"/>
      <c r="Q326" s="29"/>
      <c r="R326" s="29"/>
      <c r="S326" s="29"/>
      <c r="T326" s="29"/>
      <c r="U326" s="29"/>
      <c r="V326" s="29"/>
      <c r="W326" s="29"/>
      <c r="X326" s="29"/>
      <c r="Y326" s="29"/>
      <c r="Z326" s="29"/>
    </row>
    <row r="327" ht="18.75" customHeight="1">
      <c r="A327" s="37"/>
      <c r="B327" s="38"/>
      <c r="C327" s="29"/>
      <c r="D327" s="39"/>
      <c r="E327" s="29"/>
      <c r="F327" s="40"/>
      <c r="G327" s="40"/>
      <c r="H327" s="40"/>
      <c r="I327" s="29"/>
      <c r="J327" s="29"/>
      <c r="K327" s="29"/>
      <c r="L327" s="29"/>
      <c r="M327" s="29"/>
      <c r="N327" s="29"/>
      <c r="O327" s="29"/>
      <c r="P327" s="29"/>
      <c r="Q327" s="29"/>
      <c r="R327" s="29"/>
      <c r="S327" s="29"/>
      <c r="T327" s="29"/>
      <c r="U327" s="29"/>
      <c r="V327" s="29"/>
      <c r="W327" s="29"/>
      <c r="X327" s="29"/>
      <c r="Y327" s="29"/>
      <c r="Z327" s="29"/>
    </row>
    <row r="328" ht="18.75" customHeight="1">
      <c r="A328" s="37"/>
      <c r="B328" s="38"/>
      <c r="C328" s="29"/>
      <c r="D328" s="39"/>
      <c r="E328" s="29"/>
      <c r="F328" s="40"/>
      <c r="G328" s="40"/>
      <c r="H328" s="40"/>
      <c r="I328" s="29"/>
      <c r="J328" s="29"/>
      <c r="K328" s="29"/>
      <c r="L328" s="29"/>
      <c r="M328" s="29"/>
      <c r="N328" s="29"/>
      <c r="O328" s="29"/>
      <c r="P328" s="29"/>
      <c r="Q328" s="29"/>
      <c r="R328" s="29"/>
      <c r="S328" s="29"/>
      <c r="T328" s="29"/>
      <c r="U328" s="29"/>
      <c r="V328" s="29"/>
      <c r="W328" s="29"/>
      <c r="X328" s="29"/>
      <c r="Y328" s="29"/>
      <c r="Z328" s="29"/>
    </row>
    <row r="329" ht="18.75" customHeight="1">
      <c r="A329" s="37"/>
      <c r="B329" s="38"/>
      <c r="C329" s="29"/>
      <c r="D329" s="39"/>
      <c r="E329" s="29"/>
      <c r="F329" s="40"/>
      <c r="G329" s="40"/>
      <c r="H329" s="40"/>
      <c r="I329" s="29"/>
      <c r="J329" s="29"/>
      <c r="K329" s="29"/>
      <c r="L329" s="29"/>
      <c r="M329" s="29"/>
      <c r="N329" s="29"/>
      <c r="O329" s="29"/>
      <c r="P329" s="29"/>
      <c r="Q329" s="29"/>
      <c r="R329" s="29"/>
      <c r="S329" s="29"/>
      <c r="T329" s="29"/>
      <c r="U329" s="29"/>
      <c r="V329" s="29"/>
      <c r="W329" s="29"/>
      <c r="X329" s="29"/>
      <c r="Y329" s="29"/>
      <c r="Z329" s="29"/>
    </row>
    <row r="330" ht="18.75" customHeight="1">
      <c r="A330" s="37"/>
      <c r="B330" s="38"/>
      <c r="C330" s="29"/>
      <c r="D330" s="39"/>
      <c r="E330" s="29"/>
      <c r="F330" s="40"/>
      <c r="G330" s="40"/>
      <c r="H330" s="40"/>
      <c r="I330" s="29"/>
      <c r="J330" s="29"/>
      <c r="K330" s="29"/>
      <c r="L330" s="29"/>
      <c r="M330" s="29"/>
      <c r="N330" s="29"/>
      <c r="O330" s="29"/>
      <c r="P330" s="29"/>
      <c r="Q330" s="29"/>
      <c r="R330" s="29"/>
      <c r="S330" s="29"/>
      <c r="T330" s="29"/>
      <c r="U330" s="29"/>
      <c r="V330" s="29"/>
      <c r="W330" s="29"/>
      <c r="X330" s="29"/>
      <c r="Y330" s="29"/>
      <c r="Z330" s="29"/>
    </row>
    <row r="331" ht="18.75" customHeight="1">
      <c r="A331" s="37"/>
      <c r="B331" s="38"/>
      <c r="C331" s="29"/>
      <c r="D331" s="39"/>
      <c r="E331" s="29"/>
      <c r="F331" s="40"/>
      <c r="G331" s="40"/>
      <c r="H331" s="40"/>
      <c r="I331" s="29"/>
      <c r="J331" s="29"/>
      <c r="K331" s="29"/>
      <c r="L331" s="29"/>
      <c r="M331" s="29"/>
      <c r="N331" s="29"/>
      <c r="O331" s="29"/>
      <c r="P331" s="29"/>
      <c r="Q331" s="29"/>
      <c r="R331" s="29"/>
      <c r="S331" s="29"/>
      <c r="T331" s="29"/>
      <c r="U331" s="29"/>
      <c r="V331" s="29"/>
      <c r="W331" s="29"/>
      <c r="X331" s="29"/>
      <c r="Y331" s="29"/>
      <c r="Z331" s="29"/>
    </row>
    <row r="332" ht="18.75" customHeight="1">
      <c r="A332" s="37"/>
      <c r="B332" s="38"/>
      <c r="C332" s="29"/>
      <c r="D332" s="39"/>
      <c r="E332" s="29"/>
      <c r="F332" s="40"/>
      <c r="G332" s="40"/>
      <c r="H332" s="40"/>
      <c r="I332" s="29"/>
      <c r="J332" s="29"/>
      <c r="K332" s="29"/>
      <c r="L332" s="29"/>
      <c r="M332" s="29"/>
      <c r="N332" s="29"/>
      <c r="O332" s="29"/>
      <c r="P332" s="29"/>
      <c r="Q332" s="29"/>
      <c r="R332" s="29"/>
      <c r="S332" s="29"/>
      <c r="T332" s="29"/>
      <c r="U332" s="29"/>
      <c r="V332" s="29"/>
      <c r="W332" s="29"/>
      <c r="X332" s="29"/>
      <c r="Y332" s="29"/>
      <c r="Z332" s="29"/>
    </row>
    <row r="333" ht="18.75" customHeight="1">
      <c r="A333" s="37"/>
      <c r="B333" s="38"/>
      <c r="C333" s="29"/>
      <c r="D333" s="39"/>
      <c r="E333" s="29"/>
      <c r="F333" s="40"/>
      <c r="G333" s="40"/>
      <c r="H333" s="40"/>
      <c r="I333" s="29"/>
      <c r="J333" s="29"/>
      <c r="K333" s="29"/>
      <c r="L333" s="29"/>
      <c r="M333" s="29"/>
      <c r="N333" s="29"/>
      <c r="O333" s="29"/>
      <c r="P333" s="29"/>
      <c r="Q333" s="29"/>
      <c r="R333" s="29"/>
      <c r="S333" s="29"/>
      <c r="T333" s="29"/>
      <c r="U333" s="29"/>
      <c r="V333" s="29"/>
      <c r="W333" s="29"/>
      <c r="X333" s="29"/>
      <c r="Y333" s="29"/>
      <c r="Z333" s="29"/>
    </row>
    <row r="334" ht="18.75" customHeight="1">
      <c r="A334" s="37"/>
      <c r="B334" s="38"/>
      <c r="C334" s="29"/>
      <c r="D334" s="39"/>
      <c r="E334" s="29"/>
      <c r="F334" s="40"/>
      <c r="G334" s="40"/>
      <c r="H334" s="40"/>
      <c r="I334" s="29"/>
      <c r="J334" s="29"/>
      <c r="K334" s="29"/>
      <c r="L334" s="29"/>
      <c r="M334" s="29"/>
      <c r="N334" s="29"/>
      <c r="O334" s="29"/>
      <c r="P334" s="29"/>
      <c r="Q334" s="29"/>
      <c r="R334" s="29"/>
      <c r="S334" s="29"/>
      <c r="T334" s="29"/>
      <c r="U334" s="29"/>
      <c r="V334" s="29"/>
      <c r="W334" s="29"/>
      <c r="X334" s="29"/>
      <c r="Y334" s="29"/>
      <c r="Z334" s="29"/>
    </row>
    <row r="335" ht="18.75" customHeight="1">
      <c r="A335" s="37"/>
      <c r="B335" s="38"/>
      <c r="C335" s="29"/>
      <c r="D335" s="39"/>
      <c r="E335" s="29"/>
      <c r="F335" s="40"/>
      <c r="G335" s="40"/>
      <c r="H335" s="40"/>
      <c r="I335" s="29"/>
      <c r="J335" s="29"/>
      <c r="K335" s="29"/>
      <c r="L335" s="29"/>
      <c r="M335" s="29"/>
      <c r="N335" s="29"/>
      <c r="O335" s="29"/>
      <c r="P335" s="29"/>
      <c r="Q335" s="29"/>
      <c r="R335" s="29"/>
      <c r="S335" s="29"/>
      <c r="T335" s="29"/>
      <c r="U335" s="29"/>
      <c r="V335" s="29"/>
      <c r="W335" s="29"/>
      <c r="X335" s="29"/>
      <c r="Y335" s="29"/>
      <c r="Z335" s="29"/>
    </row>
    <row r="336" ht="18.75" customHeight="1">
      <c r="A336" s="37"/>
      <c r="B336" s="38"/>
      <c r="C336" s="29"/>
      <c r="D336" s="39"/>
      <c r="E336" s="29"/>
      <c r="F336" s="40"/>
      <c r="G336" s="40"/>
      <c r="H336" s="40"/>
      <c r="I336" s="29"/>
      <c r="J336" s="29"/>
      <c r="K336" s="29"/>
      <c r="L336" s="29"/>
      <c r="M336" s="29"/>
      <c r="N336" s="29"/>
      <c r="O336" s="29"/>
      <c r="P336" s="29"/>
      <c r="Q336" s="29"/>
      <c r="R336" s="29"/>
      <c r="S336" s="29"/>
      <c r="T336" s="29"/>
      <c r="U336" s="29"/>
      <c r="V336" s="29"/>
      <c r="W336" s="29"/>
      <c r="X336" s="29"/>
      <c r="Y336" s="29"/>
      <c r="Z336" s="29"/>
    </row>
    <row r="337" ht="18.75" customHeight="1">
      <c r="A337" s="37"/>
      <c r="B337" s="38"/>
      <c r="C337" s="29"/>
      <c r="D337" s="39"/>
      <c r="E337" s="29"/>
      <c r="F337" s="40"/>
      <c r="G337" s="40"/>
      <c r="H337" s="40"/>
      <c r="I337" s="29"/>
      <c r="J337" s="29"/>
      <c r="K337" s="29"/>
      <c r="L337" s="29"/>
      <c r="M337" s="29"/>
      <c r="N337" s="29"/>
      <c r="O337" s="29"/>
      <c r="P337" s="29"/>
      <c r="Q337" s="29"/>
      <c r="R337" s="29"/>
      <c r="S337" s="29"/>
      <c r="T337" s="29"/>
      <c r="U337" s="29"/>
      <c r="V337" s="29"/>
      <c r="W337" s="29"/>
      <c r="X337" s="29"/>
      <c r="Y337" s="29"/>
      <c r="Z337" s="29"/>
    </row>
    <row r="338" ht="18.75" customHeight="1">
      <c r="A338" s="37"/>
      <c r="B338" s="38"/>
      <c r="C338" s="29"/>
      <c r="D338" s="39"/>
      <c r="E338" s="29"/>
      <c r="F338" s="40"/>
      <c r="G338" s="40"/>
      <c r="H338" s="40"/>
      <c r="I338" s="29"/>
      <c r="J338" s="29"/>
      <c r="K338" s="29"/>
      <c r="L338" s="29"/>
      <c r="M338" s="29"/>
      <c r="N338" s="29"/>
      <c r="O338" s="29"/>
      <c r="P338" s="29"/>
      <c r="Q338" s="29"/>
      <c r="R338" s="29"/>
      <c r="S338" s="29"/>
      <c r="T338" s="29"/>
      <c r="U338" s="29"/>
      <c r="V338" s="29"/>
      <c r="W338" s="29"/>
      <c r="X338" s="29"/>
      <c r="Y338" s="29"/>
      <c r="Z338" s="29"/>
    </row>
    <row r="339" ht="18.75" customHeight="1">
      <c r="A339" s="37"/>
      <c r="B339" s="38"/>
      <c r="C339" s="29"/>
      <c r="D339" s="39"/>
      <c r="E339" s="29"/>
      <c r="F339" s="40"/>
      <c r="G339" s="40"/>
      <c r="H339" s="40"/>
      <c r="I339" s="29"/>
      <c r="J339" s="29"/>
      <c r="K339" s="29"/>
      <c r="L339" s="29"/>
      <c r="M339" s="29"/>
      <c r="N339" s="29"/>
      <c r="O339" s="29"/>
      <c r="P339" s="29"/>
      <c r="Q339" s="29"/>
      <c r="R339" s="29"/>
      <c r="S339" s="29"/>
      <c r="T339" s="29"/>
      <c r="U339" s="29"/>
      <c r="V339" s="29"/>
      <c r="W339" s="29"/>
      <c r="X339" s="29"/>
      <c r="Y339" s="29"/>
      <c r="Z339" s="29"/>
    </row>
    <row r="340" ht="18.75" customHeight="1">
      <c r="A340" s="37"/>
      <c r="B340" s="38"/>
      <c r="C340" s="29"/>
      <c r="D340" s="39"/>
      <c r="E340" s="29"/>
      <c r="F340" s="40"/>
      <c r="G340" s="40"/>
      <c r="H340" s="40"/>
      <c r="I340" s="29"/>
      <c r="J340" s="29"/>
      <c r="K340" s="29"/>
      <c r="L340" s="29"/>
      <c r="M340" s="29"/>
      <c r="N340" s="29"/>
      <c r="O340" s="29"/>
      <c r="P340" s="29"/>
      <c r="Q340" s="29"/>
      <c r="R340" s="29"/>
      <c r="S340" s="29"/>
      <c r="T340" s="29"/>
      <c r="U340" s="29"/>
      <c r="V340" s="29"/>
      <c r="W340" s="29"/>
      <c r="X340" s="29"/>
      <c r="Y340" s="29"/>
      <c r="Z340" s="29"/>
    </row>
    <row r="341" ht="18.75" customHeight="1">
      <c r="A341" s="37"/>
      <c r="B341" s="38"/>
      <c r="C341" s="29"/>
      <c r="D341" s="39"/>
      <c r="E341" s="29"/>
      <c r="F341" s="40"/>
      <c r="G341" s="40"/>
      <c r="H341" s="40"/>
      <c r="I341" s="29"/>
      <c r="J341" s="29"/>
      <c r="K341" s="29"/>
      <c r="L341" s="29"/>
      <c r="M341" s="29"/>
      <c r="N341" s="29"/>
      <c r="O341" s="29"/>
      <c r="P341" s="29"/>
      <c r="Q341" s="29"/>
      <c r="R341" s="29"/>
      <c r="S341" s="29"/>
      <c r="T341" s="29"/>
      <c r="U341" s="29"/>
      <c r="V341" s="29"/>
      <c r="W341" s="29"/>
      <c r="X341" s="29"/>
      <c r="Y341" s="29"/>
      <c r="Z341" s="29"/>
    </row>
    <row r="342" ht="18.75" customHeight="1">
      <c r="A342" s="37"/>
      <c r="B342" s="38"/>
      <c r="C342" s="29"/>
      <c r="D342" s="39"/>
      <c r="E342" s="29"/>
      <c r="F342" s="40"/>
      <c r="G342" s="40"/>
      <c r="H342" s="40"/>
      <c r="I342" s="29"/>
      <c r="J342" s="29"/>
      <c r="K342" s="29"/>
      <c r="L342" s="29"/>
      <c r="M342" s="29"/>
      <c r="N342" s="29"/>
      <c r="O342" s="29"/>
      <c r="P342" s="29"/>
      <c r="Q342" s="29"/>
      <c r="R342" s="29"/>
      <c r="S342" s="29"/>
      <c r="T342" s="29"/>
      <c r="U342" s="29"/>
      <c r="V342" s="29"/>
      <c r="W342" s="29"/>
      <c r="X342" s="29"/>
      <c r="Y342" s="29"/>
      <c r="Z342" s="29"/>
    </row>
    <row r="343" ht="18.75" customHeight="1">
      <c r="A343" s="37"/>
      <c r="B343" s="38"/>
      <c r="C343" s="29"/>
      <c r="D343" s="39"/>
      <c r="E343" s="29"/>
      <c r="F343" s="40"/>
      <c r="G343" s="40"/>
      <c r="H343" s="40"/>
      <c r="I343" s="29"/>
      <c r="J343" s="29"/>
      <c r="K343" s="29"/>
      <c r="L343" s="29"/>
      <c r="M343" s="29"/>
      <c r="N343" s="29"/>
      <c r="O343" s="29"/>
      <c r="P343" s="29"/>
      <c r="Q343" s="29"/>
      <c r="R343" s="29"/>
      <c r="S343" s="29"/>
      <c r="T343" s="29"/>
      <c r="U343" s="29"/>
      <c r="V343" s="29"/>
      <c r="W343" s="29"/>
      <c r="X343" s="29"/>
      <c r="Y343" s="29"/>
      <c r="Z343" s="29"/>
    </row>
    <row r="344" ht="18.75" customHeight="1">
      <c r="A344" s="37"/>
      <c r="B344" s="38"/>
      <c r="C344" s="29"/>
      <c r="D344" s="39"/>
      <c r="E344" s="29"/>
      <c r="F344" s="40"/>
      <c r="G344" s="40"/>
      <c r="H344" s="40"/>
      <c r="I344" s="29"/>
      <c r="J344" s="29"/>
      <c r="K344" s="29"/>
      <c r="L344" s="29"/>
      <c r="M344" s="29"/>
      <c r="N344" s="29"/>
      <c r="O344" s="29"/>
      <c r="P344" s="29"/>
      <c r="Q344" s="29"/>
      <c r="R344" s="29"/>
      <c r="S344" s="29"/>
      <c r="T344" s="29"/>
      <c r="U344" s="29"/>
      <c r="V344" s="29"/>
      <c r="W344" s="29"/>
      <c r="X344" s="29"/>
      <c r="Y344" s="29"/>
      <c r="Z344" s="29"/>
    </row>
    <row r="345" ht="18.75" customHeight="1">
      <c r="A345" s="37"/>
      <c r="B345" s="38"/>
      <c r="C345" s="29"/>
      <c r="D345" s="39"/>
      <c r="E345" s="29"/>
      <c r="F345" s="40"/>
      <c r="G345" s="40"/>
      <c r="H345" s="40"/>
      <c r="I345" s="29"/>
      <c r="J345" s="29"/>
      <c r="K345" s="29"/>
      <c r="L345" s="29"/>
      <c r="M345" s="29"/>
      <c r="N345" s="29"/>
      <c r="O345" s="29"/>
      <c r="P345" s="29"/>
      <c r="Q345" s="29"/>
      <c r="R345" s="29"/>
      <c r="S345" s="29"/>
      <c r="T345" s="29"/>
      <c r="U345" s="29"/>
      <c r="V345" s="29"/>
      <c r="W345" s="29"/>
      <c r="X345" s="29"/>
      <c r="Y345" s="29"/>
      <c r="Z345" s="29"/>
    </row>
    <row r="346" ht="18.75" customHeight="1">
      <c r="A346" s="37"/>
      <c r="B346" s="38"/>
      <c r="C346" s="29"/>
      <c r="D346" s="39"/>
      <c r="E346" s="29"/>
      <c r="F346" s="40"/>
      <c r="G346" s="40"/>
      <c r="H346" s="40"/>
      <c r="I346" s="29"/>
      <c r="J346" s="29"/>
      <c r="K346" s="29"/>
      <c r="L346" s="29"/>
      <c r="M346" s="29"/>
      <c r="N346" s="29"/>
      <c r="O346" s="29"/>
      <c r="P346" s="29"/>
      <c r="Q346" s="29"/>
      <c r="R346" s="29"/>
      <c r="S346" s="29"/>
      <c r="T346" s="29"/>
      <c r="U346" s="29"/>
      <c r="V346" s="29"/>
      <c r="W346" s="29"/>
      <c r="X346" s="29"/>
      <c r="Y346" s="29"/>
      <c r="Z346" s="29"/>
    </row>
    <row r="347" ht="18.75" customHeight="1">
      <c r="A347" s="37"/>
      <c r="B347" s="38"/>
      <c r="C347" s="29"/>
      <c r="D347" s="39"/>
      <c r="E347" s="29"/>
      <c r="F347" s="40"/>
      <c r="G347" s="40"/>
      <c r="H347" s="40"/>
      <c r="I347" s="29"/>
      <c r="J347" s="29"/>
      <c r="K347" s="29"/>
      <c r="L347" s="29"/>
      <c r="M347" s="29"/>
      <c r="N347" s="29"/>
      <c r="O347" s="29"/>
      <c r="P347" s="29"/>
      <c r="Q347" s="29"/>
      <c r="R347" s="29"/>
      <c r="S347" s="29"/>
      <c r="T347" s="29"/>
      <c r="U347" s="29"/>
      <c r="V347" s="29"/>
      <c r="W347" s="29"/>
      <c r="X347" s="29"/>
      <c r="Y347" s="29"/>
      <c r="Z347" s="29"/>
    </row>
    <row r="348" ht="18.75" customHeight="1">
      <c r="A348" s="37"/>
      <c r="B348" s="38"/>
      <c r="C348" s="29"/>
      <c r="D348" s="39"/>
      <c r="E348" s="29"/>
      <c r="F348" s="40"/>
      <c r="G348" s="40"/>
      <c r="H348" s="40"/>
      <c r="I348" s="29"/>
      <c r="J348" s="29"/>
      <c r="K348" s="29"/>
      <c r="L348" s="29"/>
      <c r="M348" s="29"/>
      <c r="N348" s="29"/>
      <c r="O348" s="29"/>
      <c r="P348" s="29"/>
      <c r="Q348" s="29"/>
      <c r="R348" s="29"/>
      <c r="S348" s="29"/>
      <c r="T348" s="29"/>
      <c r="U348" s="29"/>
      <c r="V348" s="29"/>
      <c r="W348" s="29"/>
      <c r="X348" s="29"/>
      <c r="Y348" s="29"/>
      <c r="Z348" s="29"/>
    </row>
    <row r="349" ht="18.75" customHeight="1">
      <c r="A349" s="37"/>
      <c r="B349" s="38"/>
      <c r="C349" s="29"/>
      <c r="D349" s="39"/>
      <c r="E349" s="29"/>
      <c r="F349" s="40"/>
      <c r="G349" s="40"/>
      <c r="H349" s="40"/>
      <c r="I349" s="29"/>
      <c r="J349" s="29"/>
      <c r="K349" s="29"/>
      <c r="L349" s="29"/>
      <c r="M349" s="29"/>
      <c r="N349" s="29"/>
      <c r="O349" s="29"/>
      <c r="P349" s="29"/>
      <c r="Q349" s="29"/>
      <c r="R349" s="29"/>
      <c r="S349" s="29"/>
      <c r="T349" s="29"/>
      <c r="U349" s="29"/>
      <c r="V349" s="29"/>
      <c r="W349" s="29"/>
      <c r="X349" s="29"/>
      <c r="Y349" s="29"/>
      <c r="Z349" s="29"/>
    </row>
    <row r="350" ht="18.75" customHeight="1">
      <c r="A350" s="37"/>
      <c r="B350" s="38"/>
      <c r="C350" s="29"/>
      <c r="D350" s="39"/>
      <c r="E350" s="29"/>
      <c r="F350" s="40"/>
      <c r="G350" s="40"/>
      <c r="H350" s="40"/>
      <c r="I350" s="29"/>
      <c r="J350" s="29"/>
      <c r="K350" s="29"/>
      <c r="L350" s="29"/>
      <c r="M350" s="29"/>
      <c r="N350" s="29"/>
      <c r="O350" s="29"/>
      <c r="P350" s="29"/>
      <c r="Q350" s="29"/>
      <c r="R350" s="29"/>
      <c r="S350" s="29"/>
      <c r="T350" s="29"/>
      <c r="U350" s="29"/>
      <c r="V350" s="29"/>
      <c r="W350" s="29"/>
      <c r="X350" s="29"/>
      <c r="Y350" s="29"/>
      <c r="Z350" s="29"/>
    </row>
    <row r="351" ht="18.75" customHeight="1">
      <c r="A351" s="37"/>
      <c r="B351" s="38"/>
      <c r="C351" s="29"/>
      <c r="D351" s="39"/>
      <c r="E351" s="29"/>
      <c r="F351" s="40"/>
      <c r="G351" s="40"/>
      <c r="H351" s="40"/>
      <c r="I351" s="29"/>
      <c r="J351" s="29"/>
      <c r="K351" s="29"/>
      <c r="L351" s="29"/>
      <c r="M351" s="29"/>
      <c r="N351" s="29"/>
      <c r="O351" s="29"/>
      <c r="P351" s="29"/>
      <c r="Q351" s="29"/>
      <c r="R351" s="29"/>
      <c r="S351" s="29"/>
      <c r="T351" s="29"/>
      <c r="U351" s="29"/>
      <c r="V351" s="29"/>
      <c r="W351" s="29"/>
      <c r="X351" s="29"/>
      <c r="Y351" s="29"/>
      <c r="Z351" s="29"/>
    </row>
    <row r="352" ht="18.75" customHeight="1">
      <c r="A352" s="37"/>
      <c r="B352" s="38"/>
      <c r="C352" s="29"/>
      <c r="D352" s="39"/>
      <c r="E352" s="29"/>
      <c r="F352" s="40"/>
      <c r="G352" s="40"/>
      <c r="H352" s="40"/>
      <c r="I352" s="29"/>
      <c r="J352" s="29"/>
      <c r="K352" s="29"/>
      <c r="L352" s="29"/>
      <c r="M352" s="29"/>
      <c r="N352" s="29"/>
      <c r="O352" s="29"/>
      <c r="P352" s="29"/>
      <c r="Q352" s="29"/>
      <c r="R352" s="29"/>
      <c r="S352" s="29"/>
      <c r="T352" s="29"/>
      <c r="U352" s="29"/>
      <c r="V352" s="29"/>
      <c r="W352" s="29"/>
      <c r="X352" s="29"/>
      <c r="Y352" s="29"/>
      <c r="Z352" s="29"/>
    </row>
    <row r="353" ht="18.75" customHeight="1">
      <c r="A353" s="37"/>
      <c r="B353" s="38"/>
      <c r="C353" s="29"/>
      <c r="D353" s="39"/>
      <c r="E353" s="29"/>
      <c r="F353" s="40"/>
      <c r="G353" s="40"/>
      <c r="H353" s="40"/>
      <c r="I353" s="29"/>
      <c r="J353" s="29"/>
      <c r="K353" s="29"/>
      <c r="L353" s="29"/>
      <c r="M353" s="29"/>
      <c r="N353" s="29"/>
      <c r="O353" s="29"/>
      <c r="P353" s="29"/>
      <c r="Q353" s="29"/>
      <c r="R353" s="29"/>
      <c r="S353" s="29"/>
      <c r="T353" s="29"/>
      <c r="U353" s="29"/>
      <c r="V353" s="29"/>
      <c r="W353" s="29"/>
      <c r="X353" s="29"/>
      <c r="Y353" s="29"/>
      <c r="Z353" s="29"/>
    </row>
    <row r="354" ht="18.75" customHeight="1">
      <c r="A354" s="37"/>
      <c r="B354" s="38"/>
      <c r="C354" s="29"/>
      <c r="D354" s="39"/>
      <c r="E354" s="29"/>
      <c r="F354" s="40"/>
      <c r="G354" s="40"/>
      <c r="H354" s="40"/>
      <c r="I354" s="29"/>
      <c r="J354" s="29"/>
      <c r="K354" s="29"/>
      <c r="L354" s="29"/>
      <c r="M354" s="29"/>
      <c r="N354" s="29"/>
      <c r="O354" s="29"/>
      <c r="P354" s="29"/>
      <c r="Q354" s="29"/>
      <c r="R354" s="29"/>
      <c r="S354" s="29"/>
      <c r="T354" s="29"/>
      <c r="U354" s="29"/>
      <c r="V354" s="29"/>
      <c r="W354" s="29"/>
      <c r="X354" s="29"/>
      <c r="Y354" s="29"/>
      <c r="Z354" s="29"/>
    </row>
    <row r="355" ht="18.75" customHeight="1">
      <c r="A355" s="37"/>
      <c r="B355" s="38"/>
      <c r="C355" s="29"/>
      <c r="D355" s="39"/>
      <c r="E355" s="29"/>
      <c r="F355" s="40"/>
      <c r="G355" s="40"/>
      <c r="H355" s="40"/>
      <c r="I355" s="29"/>
      <c r="J355" s="29"/>
      <c r="K355" s="29"/>
      <c r="L355" s="29"/>
      <c r="M355" s="29"/>
      <c r="N355" s="29"/>
      <c r="O355" s="29"/>
      <c r="P355" s="29"/>
      <c r="Q355" s="29"/>
      <c r="R355" s="29"/>
      <c r="S355" s="29"/>
      <c r="T355" s="29"/>
      <c r="U355" s="29"/>
      <c r="V355" s="29"/>
      <c r="W355" s="29"/>
      <c r="X355" s="29"/>
      <c r="Y355" s="29"/>
      <c r="Z355" s="29"/>
    </row>
    <row r="356" ht="18.75" customHeight="1">
      <c r="A356" s="37"/>
      <c r="B356" s="38"/>
      <c r="C356" s="29"/>
      <c r="D356" s="39"/>
      <c r="E356" s="29"/>
      <c r="F356" s="40"/>
      <c r="G356" s="40"/>
      <c r="H356" s="40"/>
      <c r="I356" s="29"/>
      <c r="J356" s="29"/>
      <c r="K356" s="29"/>
      <c r="L356" s="29"/>
      <c r="M356" s="29"/>
      <c r="N356" s="29"/>
      <c r="O356" s="29"/>
      <c r="P356" s="29"/>
      <c r="Q356" s="29"/>
      <c r="R356" s="29"/>
      <c r="S356" s="29"/>
      <c r="T356" s="29"/>
      <c r="U356" s="29"/>
      <c r="V356" s="29"/>
      <c r="W356" s="29"/>
      <c r="X356" s="29"/>
      <c r="Y356" s="29"/>
      <c r="Z356" s="29"/>
    </row>
    <row r="357" ht="18.75" customHeight="1">
      <c r="A357" s="37"/>
      <c r="B357" s="38"/>
      <c r="C357" s="29"/>
      <c r="D357" s="39"/>
      <c r="E357" s="29"/>
      <c r="F357" s="40"/>
      <c r="G357" s="40"/>
      <c r="H357" s="40"/>
      <c r="I357" s="29"/>
      <c r="J357" s="29"/>
      <c r="K357" s="29"/>
      <c r="L357" s="29"/>
      <c r="M357" s="29"/>
      <c r="N357" s="29"/>
      <c r="O357" s="29"/>
      <c r="P357" s="29"/>
      <c r="Q357" s="29"/>
      <c r="R357" s="29"/>
      <c r="S357" s="29"/>
      <c r="T357" s="29"/>
      <c r="U357" s="29"/>
      <c r="V357" s="29"/>
      <c r="W357" s="29"/>
      <c r="X357" s="29"/>
      <c r="Y357" s="29"/>
      <c r="Z357" s="29"/>
    </row>
    <row r="358" ht="18.75" customHeight="1">
      <c r="A358" s="37"/>
      <c r="B358" s="38"/>
      <c r="C358" s="29"/>
      <c r="D358" s="39"/>
      <c r="E358" s="29"/>
      <c r="F358" s="40"/>
      <c r="G358" s="40"/>
      <c r="H358" s="40"/>
      <c r="I358" s="29"/>
      <c r="J358" s="29"/>
      <c r="K358" s="29"/>
      <c r="L358" s="29"/>
      <c r="M358" s="29"/>
      <c r="N358" s="29"/>
      <c r="O358" s="29"/>
      <c r="P358" s="29"/>
      <c r="Q358" s="29"/>
      <c r="R358" s="29"/>
      <c r="S358" s="29"/>
      <c r="T358" s="29"/>
      <c r="U358" s="29"/>
      <c r="V358" s="29"/>
      <c r="W358" s="29"/>
      <c r="X358" s="29"/>
      <c r="Y358" s="29"/>
      <c r="Z358" s="29"/>
    </row>
    <row r="359" ht="18.75" customHeight="1">
      <c r="A359" s="37"/>
      <c r="B359" s="38"/>
      <c r="C359" s="29"/>
      <c r="D359" s="39"/>
      <c r="E359" s="29"/>
      <c r="F359" s="40"/>
      <c r="G359" s="40"/>
      <c r="H359" s="40"/>
      <c r="I359" s="29"/>
      <c r="J359" s="29"/>
      <c r="K359" s="29"/>
      <c r="L359" s="29"/>
      <c r="M359" s="29"/>
      <c r="N359" s="29"/>
      <c r="O359" s="29"/>
      <c r="P359" s="29"/>
      <c r="Q359" s="29"/>
      <c r="R359" s="29"/>
      <c r="S359" s="29"/>
      <c r="T359" s="29"/>
      <c r="U359" s="29"/>
      <c r="V359" s="29"/>
      <c r="W359" s="29"/>
      <c r="X359" s="29"/>
      <c r="Y359" s="29"/>
      <c r="Z359" s="29"/>
    </row>
    <row r="360" ht="18.75" customHeight="1">
      <c r="A360" s="37"/>
      <c r="B360" s="38"/>
      <c r="C360" s="29"/>
      <c r="D360" s="39"/>
      <c r="E360" s="29"/>
      <c r="F360" s="40"/>
      <c r="G360" s="40"/>
      <c r="H360" s="40"/>
      <c r="I360" s="29"/>
      <c r="J360" s="29"/>
      <c r="K360" s="29"/>
      <c r="L360" s="29"/>
      <c r="M360" s="29"/>
      <c r="N360" s="29"/>
      <c r="O360" s="29"/>
      <c r="P360" s="29"/>
      <c r="Q360" s="29"/>
      <c r="R360" s="29"/>
      <c r="S360" s="29"/>
      <c r="T360" s="29"/>
      <c r="U360" s="29"/>
      <c r="V360" s="29"/>
      <c r="W360" s="29"/>
      <c r="X360" s="29"/>
      <c r="Y360" s="29"/>
      <c r="Z360" s="29"/>
    </row>
    <row r="361" ht="18.75" customHeight="1">
      <c r="A361" s="37"/>
      <c r="B361" s="38"/>
      <c r="C361" s="29"/>
      <c r="D361" s="39"/>
      <c r="E361" s="29"/>
      <c r="F361" s="40"/>
      <c r="G361" s="40"/>
      <c r="H361" s="40"/>
      <c r="I361" s="29"/>
      <c r="J361" s="29"/>
      <c r="K361" s="29"/>
      <c r="L361" s="29"/>
      <c r="M361" s="29"/>
      <c r="N361" s="29"/>
      <c r="O361" s="29"/>
      <c r="P361" s="29"/>
      <c r="Q361" s="29"/>
      <c r="R361" s="29"/>
      <c r="S361" s="29"/>
      <c r="T361" s="29"/>
      <c r="U361" s="29"/>
      <c r="V361" s="29"/>
      <c r="W361" s="29"/>
      <c r="X361" s="29"/>
      <c r="Y361" s="29"/>
      <c r="Z361" s="29"/>
    </row>
    <row r="362" ht="18.75" customHeight="1">
      <c r="A362" s="37"/>
      <c r="B362" s="38"/>
      <c r="C362" s="29"/>
      <c r="D362" s="39"/>
      <c r="E362" s="29"/>
      <c r="F362" s="40"/>
      <c r="G362" s="40"/>
      <c r="H362" s="40"/>
      <c r="I362" s="29"/>
      <c r="J362" s="29"/>
      <c r="K362" s="29"/>
      <c r="L362" s="29"/>
      <c r="M362" s="29"/>
      <c r="N362" s="29"/>
      <c r="O362" s="29"/>
      <c r="P362" s="29"/>
      <c r="Q362" s="29"/>
      <c r="R362" s="29"/>
      <c r="S362" s="29"/>
      <c r="T362" s="29"/>
      <c r="U362" s="29"/>
      <c r="V362" s="29"/>
      <c r="W362" s="29"/>
      <c r="X362" s="29"/>
      <c r="Y362" s="29"/>
      <c r="Z362" s="29"/>
    </row>
    <row r="363" ht="18.75" customHeight="1">
      <c r="A363" s="37"/>
      <c r="B363" s="38"/>
      <c r="C363" s="29"/>
      <c r="D363" s="39"/>
      <c r="E363" s="29"/>
      <c r="F363" s="40"/>
      <c r="G363" s="40"/>
      <c r="H363" s="40"/>
      <c r="I363" s="29"/>
      <c r="J363" s="29"/>
      <c r="K363" s="29"/>
      <c r="L363" s="29"/>
      <c r="M363" s="29"/>
      <c r="N363" s="29"/>
      <c r="O363" s="29"/>
      <c r="P363" s="29"/>
      <c r="Q363" s="29"/>
      <c r="R363" s="29"/>
      <c r="S363" s="29"/>
      <c r="T363" s="29"/>
      <c r="U363" s="29"/>
      <c r="V363" s="29"/>
      <c r="W363" s="29"/>
      <c r="X363" s="29"/>
      <c r="Y363" s="29"/>
      <c r="Z363" s="29"/>
    </row>
    <row r="364" ht="18.75" customHeight="1">
      <c r="A364" s="37"/>
      <c r="B364" s="38"/>
      <c r="C364" s="29"/>
      <c r="D364" s="39"/>
      <c r="E364" s="29"/>
      <c r="F364" s="40"/>
      <c r="G364" s="40"/>
      <c r="H364" s="40"/>
      <c r="I364" s="29"/>
      <c r="J364" s="29"/>
      <c r="K364" s="29"/>
      <c r="L364" s="29"/>
      <c r="M364" s="29"/>
      <c r="N364" s="29"/>
      <c r="O364" s="29"/>
      <c r="P364" s="29"/>
      <c r="Q364" s="29"/>
      <c r="R364" s="29"/>
      <c r="S364" s="29"/>
      <c r="T364" s="29"/>
      <c r="U364" s="29"/>
      <c r="V364" s="29"/>
      <c r="W364" s="29"/>
      <c r="X364" s="29"/>
      <c r="Y364" s="29"/>
      <c r="Z364" s="29"/>
    </row>
    <row r="365" ht="18.75" customHeight="1">
      <c r="A365" s="37"/>
      <c r="B365" s="38"/>
      <c r="C365" s="29"/>
      <c r="D365" s="39"/>
      <c r="E365" s="29"/>
      <c r="F365" s="40"/>
      <c r="G365" s="40"/>
      <c r="H365" s="40"/>
      <c r="I365" s="29"/>
      <c r="J365" s="29"/>
      <c r="K365" s="29"/>
      <c r="L365" s="29"/>
      <c r="M365" s="29"/>
      <c r="N365" s="29"/>
      <c r="O365" s="29"/>
      <c r="P365" s="29"/>
      <c r="Q365" s="29"/>
      <c r="R365" s="29"/>
      <c r="S365" s="29"/>
      <c r="T365" s="29"/>
      <c r="U365" s="29"/>
      <c r="V365" s="29"/>
      <c r="W365" s="29"/>
      <c r="X365" s="29"/>
      <c r="Y365" s="29"/>
      <c r="Z365" s="29"/>
    </row>
    <row r="366" ht="18.75" customHeight="1">
      <c r="A366" s="37"/>
      <c r="B366" s="38"/>
      <c r="C366" s="29"/>
      <c r="D366" s="39"/>
      <c r="E366" s="29"/>
      <c r="F366" s="40"/>
      <c r="G366" s="40"/>
      <c r="H366" s="40"/>
      <c r="I366" s="29"/>
      <c r="J366" s="29"/>
      <c r="K366" s="29"/>
      <c r="L366" s="29"/>
      <c r="M366" s="29"/>
      <c r="N366" s="29"/>
      <c r="O366" s="29"/>
      <c r="P366" s="29"/>
      <c r="Q366" s="29"/>
      <c r="R366" s="29"/>
      <c r="S366" s="29"/>
      <c r="T366" s="29"/>
      <c r="U366" s="29"/>
      <c r="V366" s="29"/>
      <c r="W366" s="29"/>
      <c r="X366" s="29"/>
      <c r="Y366" s="29"/>
      <c r="Z366" s="29"/>
    </row>
    <row r="367" ht="18.75" customHeight="1">
      <c r="A367" s="37"/>
      <c r="B367" s="38"/>
      <c r="C367" s="29"/>
      <c r="D367" s="39"/>
      <c r="E367" s="29"/>
      <c r="F367" s="40"/>
      <c r="G367" s="40"/>
      <c r="H367" s="40"/>
      <c r="I367" s="29"/>
      <c r="J367" s="29"/>
      <c r="K367" s="29"/>
      <c r="L367" s="29"/>
      <c r="M367" s="29"/>
      <c r="N367" s="29"/>
      <c r="O367" s="29"/>
      <c r="P367" s="29"/>
      <c r="Q367" s="29"/>
      <c r="R367" s="29"/>
      <c r="S367" s="29"/>
      <c r="T367" s="29"/>
      <c r="U367" s="29"/>
      <c r="V367" s="29"/>
      <c r="W367" s="29"/>
      <c r="X367" s="29"/>
      <c r="Y367" s="29"/>
      <c r="Z367" s="29"/>
    </row>
    <row r="368" ht="18.75" customHeight="1">
      <c r="A368" s="37"/>
      <c r="B368" s="38"/>
      <c r="C368" s="29"/>
      <c r="D368" s="39"/>
      <c r="E368" s="29"/>
      <c r="F368" s="40"/>
      <c r="G368" s="40"/>
      <c r="H368" s="40"/>
      <c r="I368" s="29"/>
      <c r="J368" s="29"/>
      <c r="K368" s="29"/>
      <c r="L368" s="29"/>
      <c r="M368" s="29"/>
      <c r="N368" s="29"/>
      <c r="O368" s="29"/>
      <c r="P368" s="29"/>
      <c r="Q368" s="29"/>
      <c r="R368" s="29"/>
      <c r="S368" s="29"/>
      <c r="T368" s="29"/>
      <c r="U368" s="29"/>
      <c r="V368" s="29"/>
      <c r="W368" s="29"/>
      <c r="X368" s="29"/>
      <c r="Y368" s="29"/>
      <c r="Z368" s="29"/>
    </row>
    <row r="369" ht="18.75" customHeight="1">
      <c r="A369" s="37"/>
      <c r="B369" s="38"/>
      <c r="C369" s="29"/>
      <c r="D369" s="39"/>
      <c r="E369" s="29"/>
      <c r="F369" s="40"/>
      <c r="G369" s="40"/>
      <c r="H369" s="40"/>
      <c r="I369" s="29"/>
      <c r="J369" s="29"/>
      <c r="K369" s="29"/>
      <c r="L369" s="29"/>
      <c r="M369" s="29"/>
      <c r="N369" s="29"/>
      <c r="O369" s="29"/>
      <c r="P369" s="29"/>
      <c r="Q369" s="29"/>
      <c r="R369" s="29"/>
      <c r="S369" s="29"/>
      <c r="T369" s="29"/>
      <c r="U369" s="29"/>
      <c r="V369" s="29"/>
      <c r="W369" s="29"/>
      <c r="X369" s="29"/>
      <c r="Y369" s="29"/>
      <c r="Z369" s="29"/>
    </row>
    <row r="370" ht="18.75" customHeight="1">
      <c r="A370" s="37"/>
      <c r="B370" s="38"/>
      <c r="C370" s="29"/>
      <c r="D370" s="39"/>
      <c r="E370" s="29"/>
      <c r="F370" s="40"/>
      <c r="G370" s="40"/>
      <c r="H370" s="40"/>
      <c r="I370" s="29"/>
      <c r="J370" s="29"/>
      <c r="K370" s="29"/>
      <c r="L370" s="29"/>
      <c r="M370" s="29"/>
      <c r="N370" s="29"/>
      <c r="O370" s="29"/>
      <c r="P370" s="29"/>
      <c r="Q370" s="29"/>
      <c r="R370" s="29"/>
      <c r="S370" s="29"/>
      <c r="T370" s="29"/>
      <c r="U370" s="29"/>
      <c r="V370" s="29"/>
      <c r="W370" s="29"/>
      <c r="X370" s="29"/>
      <c r="Y370" s="29"/>
      <c r="Z370" s="29"/>
    </row>
    <row r="371" ht="18.75" customHeight="1">
      <c r="A371" s="37"/>
      <c r="B371" s="38"/>
      <c r="C371" s="29"/>
      <c r="D371" s="39"/>
      <c r="E371" s="29"/>
      <c r="F371" s="40"/>
      <c r="G371" s="40"/>
      <c r="H371" s="40"/>
      <c r="I371" s="29"/>
      <c r="J371" s="29"/>
      <c r="K371" s="29"/>
      <c r="L371" s="29"/>
      <c r="M371" s="29"/>
      <c r="N371" s="29"/>
      <c r="O371" s="29"/>
      <c r="P371" s="29"/>
      <c r="Q371" s="29"/>
      <c r="R371" s="29"/>
      <c r="S371" s="29"/>
      <c r="T371" s="29"/>
      <c r="U371" s="29"/>
      <c r="V371" s="29"/>
      <c r="W371" s="29"/>
      <c r="X371" s="29"/>
      <c r="Y371" s="29"/>
      <c r="Z371" s="29"/>
    </row>
    <row r="372" ht="18.75" customHeight="1">
      <c r="A372" s="37"/>
      <c r="B372" s="38"/>
      <c r="C372" s="29"/>
      <c r="D372" s="39"/>
      <c r="E372" s="29"/>
      <c r="F372" s="40"/>
      <c r="G372" s="40"/>
      <c r="H372" s="40"/>
      <c r="I372" s="29"/>
      <c r="J372" s="29"/>
      <c r="K372" s="29"/>
      <c r="L372" s="29"/>
      <c r="M372" s="29"/>
      <c r="N372" s="29"/>
      <c r="O372" s="29"/>
      <c r="P372" s="29"/>
      <c r="Q372" s="29"/>
      <c r="R372" s="29"/>
      <c r="S372" s="29"/>
      <c r="T372" s="29"/>
      <c r="U372" s="29"/>
      <c r="V372" s="29"/>
      <c r="W372" s="29"/>
      <c r="X372" s="29"/>
      <c r="Y372" s="29"/>
      <c r="Z372" s="29"/>
    </row>
    <row r="373" ht="18.75" customHeight="1">
      <c r="A373" s="37"/>
      <c r="B373" s="38"/>
      <c r="C373" s="29"/>
      <c r="D373" s="39"/>
      <c r="E373" s="29"/>
      <c r="F373" s="40"/>
      <c r="G373" s="40"/>
      <c r="H373" s="40"/>
      <c r="I373" s="29"/>
      <c r="J373" s="29"/>
      <c r="K373" s="29"/>
      <c r="L373" s="29"/>
      <c r="M373" s="29"/>
      <c r="N373" s="29"/>
      <c r="O373" s="29"/>
      <c r="P373" s="29"/>
      <c r="Q373" s="29"/>
      <c r="R373" s="29"/>
      <c r="S373" s="29"/>
      <c r="T373" s="29"/>
      <c r="U373" s="29"/>
      <c r="V373" s="29"/>
      <c r="W373" s="29"/>
      <c r="X373" s="29"/>
      <c r="Y373" s="29"/>
      <c r="Z373" s="29"/>
    </row>
    <row r="374" ht="18.75" customHeight="1">
      <c r="A374" s="37"/>
      <c r="B374" s="38"/>
      <c r="C374" s="29"/>
      <c r="D374" s="39"/>
      <c r="E374" s="29"/>
      <c r="F374" s="40"/>
      <c r="G374" s="40"/>
      <c r="H374" s="40"/>
      <c r="I374" s="29"/>
      <c r="J374" s="29"/>
      <c r="K374" s="29"/>
      <c r="L374" s="29"/>
      <c r="M374" s="29"/>
      <c r="N374" s="29"/>
      <c r="O374" s="29"/>
      <c r="P374" s="29"/>
      <c r="Q374" s="29"/>
      <c r="R374" s="29"/>
      <c r="S374" s="29"/>
      <c r="T374" s="29"/>
      <c r="U374" s="29"/>
      <c r="V374" s="29"/>
      <c r="W374" s="29"/>
      <c r="X374" s="29"/>
      <c r="Y374" s="29"/>
      <c r="Z374" s="29"/>
    </row>
    <row r="375" ht="18.75" customHeight="1">
      <c r="A375" s="37"/>
      <c r="B375" s="38"/>
      <c r="C375" s="29"/>
      <c r="D375" s="39"/>
      <c r="E375" s="29"/>
      <c r="F375" s="40"/>
      <c r="G375" s="40"/>
      <c r="H375" s="40"/>
      <c r="I375" s="29"/>
      <c r="J375" s="29"/>
      <c r="K375" s="29"/>
      <c r="L375" s="29"/>
      <c r="M375" s="29"/>
      <c r="N375" s="29"/>
      <c r="O375" s="29"/>
      <c r="P375" s="29"/>
      <c r="Q375" s="29"/>
      <c r="R375" s="29"/>
      <c r="S375" s="29"/>
      <c r="T375" s="29"/>
      <c r="U375" s="29"/>
      <c r="V375" s="29"/>
      <c r="W375" s="29"/>
      <c r="X375" s="29"/>
      <c r="Y375" s="29"/>
      <c r="Z375" s="29"/>
    </row>
    <row r="376" ht="18.75" customHeight="1">
      <c r="A376" s="37"/>
      <c r="B376" s="38"/>
      <c r="C376" s="29"/>
      <c r="D376" s="39"/>
      <c r="E376" s="29"/>
      <c r="F376" s="40"/>
      <c r="G376" s="40"/>
      <c r="H376" s="40"/>
      <c r="I376" s="29"/>
      <c r="J376" s="29"/>
      <c r="K376" s="29"/>
      <c r="L376" s="29"/>
      <c r="M376" s="29"/>
      <c r="N376" s="29"/>
      <c r="O376" s="29"/>
      <c r="P376" s="29"/>
      <c r="Q376" s="29"/>
      <c r="R376" s="29"/>
      <c r="S376" s="29"/>
      <c r="T376" s="29"/>
      <c r="U376" s="29"/>
      <c r="V376" s="29"/>
      <c r="W376" s="29"/>
      <c r="X376" s="29"/>
      <c r="Y376" s="29"/>
      <c r="Z376" s="29"/>
    </row>
    <row r="377" ht="18.75" customHeight="1">
      <c r="A377" s="37"/>
      <c r="B377" s="38"/>
      <c r="C377" s="29"/>
      <c r="D377" s="39"/>
      <c r="E377" s="29"/>
      <c r="F377" s="40"/>
      <c r="G377" s="40"/>
      <c r="H377" s="40"/>
      <c r="I377" s="29"/>
      <c r="J377" s="29"/>
      <c r="K377" s="29"/>
      <c r="L377" s="29"/>
      <c r="M377" s="29"/>
      <c r="N377" s="29"/>
      <c r="O377" s="29"/>
      <c r="P377" s="29"/>
      <c r="Q377" s="29"/>
      <c r="R377" s="29"/>
      <c r="S377" s="29"/>
      <c r="T377" s="29"/>
      <c r="U377" s="29"/>
      <c r="V377" s="29"/>
      <c r="W377" s="29"/>
      <c r="X377" s="29"/>
      <c r="Y377" s="29"/>
      <c r="Z377" s="29"/>
    </row>
    <row r="378" ht="18.75" customHeight="1">
      <c r="A378" s="37"/>
      <c r="B378" s="38"/>
      <c r="C378" s="29"/>
      <c r="D378" s="39"/>
      <c r="E378" s="29"/>
      <c r="F378" s="40"/>
      <c r="G378" s="40"/>
      <c r="H378" s="40"/>
      <c r="I378" s="29"/>
      <c r="J378" s="29"/>
      <c r="K378" s="29"/>
      <c r="L378" s="29"/>
      <c r="M378" s="29"/>
      <c r="N378" s="29"/>
      <c r="O378" s="29"/>
      <c r="P378" s="29"/>
      <c r="Q378" s="29"/>
      <c r="R378" s="29"/>
      <c r="S378" s="29"/>
      <c r="T378" s="29"/>
      <c r="U378" s="29"/>
      <c r="V378" s="29"/>
      <c r="W378" s="29"/>
      <c r="X378" s="29"/>
      <c r="Y378" s="29"/>
      <c r="Z378" s="29"/>
    </row>
    <row r="379" ht="18.75" customHeight="1">
      <c r="A379" s="37"/>
      <c r="B379" s="38"/>
      <c r="C379" s="29"/>
      <c r="D379" s="39"/>
      <c r="E379" s="29"/>
      <c r="F379" s="40"/>
      <c r="G379" s="40"/>
      <c r="H379" s="40"/>
      <c r="I379" s="29"/>
      <c r="J379" s="29"/>
      <c r="K379" s="29"/>
      <c r="L379" s="29"/>
      <c r="M379" s="29"/>
      <c r="N379" s="29"/>
      <c r="O379" s="29"/>
      <c r="P379" s="29"/>
      <c r="Q379" s="29"/>
      <c r="R379" s="29"/>
      <c r="S379" s="29"/>
      <c r="T379" s="29"/>
      <c r="U379" s="29"/>
      <c r="V379" s="29"/>
      <c r="W379" s="29"/>
      <c r="X379" s="29"/>
      <c r="Y379" s="29"/>
      <c r="Z379" s="29"/>
    </row>
    <row r="380" ht="18.75" customHeight="1">
      <c r="A380" s="37"/>
      <c r="B380" s="38"/>
      <c r="C380" s="29"/>
      <c r="D380" s="39"/>
      <c r="E380" s="29"/>
      <c r="F380" s="40"/>
      <c r="G380" s="40"/>
      <c r="H380" s="40"/>
      <c r="I380" s="29"/>
      <c r="J380" s="29"/>
      <c r="K380" s="29"/>
      <c r="L380" s="29"/>
      <c r="M380" s="29"/>
      <c r="N380" s="29"/>
      <c r="O380" s="29"/>
      <c r="P380" s="29"/>
      <c r="Q380" s="29"/>
      <c r="R380" s="29"/>
      <c r="S380" s="29"/>
      <c r="T380" s="29"/>
      <c r="U380" s="29"/>
      <c r="V380" s="29"/>
      <c r="W380" s="29"/>
      <c r="X380" s="29"/>
      <c r="Y380" s="29"/>
      <c r="Z380" s="29"/>
    </row>
    <row r="381" ht="18.75" customHeight="1">
      <c r="A381" s="37"/>
      <c r="B381" s="38"/>
      <c r="C381" s="29"/>
      <c r="D381" s="39"/>
      <c r="E381" s="29"/>
      <c r="F381" s="40"/>
      <c r="G381" s="40"/>
      <c r="H381" s="40"/>
      <c r="I381" s="29"/>
      <c r="J381" s="29"/>
      <c r="K381" s="29"/>
      <c r="L381" s="29"/>
      <c r="M381" s="29"/>
      <c r="N381" s="29"/>
      <c r="O381" s="29"/>
      <c r="P381" s="29"/>
      <c r="Q381" s="29"/>
      <c r="R381" s="29"/>
      <c r="S381" s="29"/>
      <c r="T381" s="29"/>
      <c r="U381" s="29"/>
      <c r="V381" s="29"/>
      <c r="W381" s="29"/>
      <c r="X381" s="29"/>
      <c r="Y381" s="29"/>
      <c r="Z381" s="29"/>
    </row>
    <row r="382" ht="18.75" customHeight="1">
      <c r="A382" s="37"/>
      <c r="B382" s="38"/>
      <c r="C382" s="29"/>
      <c r="D382" s="39"/>
      <c r="E382" s="29"/>
      <c r="F382" s="40"/>
      <c r="G382" s="40"/>
      <c r="H382" s="40"/>
      <c r="I382" s="29"/>
      <c r="J382" s="29"/>
      <c r="K382" s="29"/>
      <c r="L382" s="29"/>
      <c r="M382" s="29"/>
      <c r="N382" s="29"/>
      <c r="O382" s="29"/>
      <c r="P382" s="29"/>
      <c r="Q382" s="29"/>
      <c r="R382" s="29"/>
      <c r="S382" s="29"/>
      <c r="T382" s="29"/>
      <c r="U382" s="29"/>
      <c r="V382" s="29"/>
      <c r="W382" s="29"/>
      <c r="X382" s="29"/>
      <c r="Y382" s="29"/>
      <c r="Z382" s="29"/>
    </row>
    <row r="383" ht="18.75" customHeight="1">
      <c r="A383" s="37"/>
      <c r="B383" s="38"/>
      <c r="C383" s="29"/>
      <c r="D383" s="39"/>
      <c r="E383" s="29"/>
      <c r="F383" s="40"/>
      <c r="G383" s="40"/>
      <c r="H383" s="40"/>
      <c r="I383" s="29"/>
      <c r="J383" s="29"/>
      <c r="K383" s="29"/>
      <c r="L383" s="29"/>
      <c r="M383" s="29"/>
      <c r="N383" s="29"/>
      <c r="O383" s="29"/>
      <c r="P383" s="29"/>
      <c r="Q383" s="29"/>
      <c r="R383" s="29"/>
      <c r="S383" s="29"/>
      <c r="T383" s="29"/>
      <c r="U383" s="29"/>
      <c r="V383" s="29"/>
      <c r="W383" s="29"/>
      <c r="X383" s="29"/>
      <c r="Y383" s="29"/>
      <c r="Z383" s="29"/>
    </row>
    <row r="384" ht="18.75" customHeight="1">
      <c r="A384" s="37"/>
      <c r="B384" s="38"/>
      <c r="C384" s="29"/>
      <c r="D384" s="39"/>
      <c r="E384" s="29"/>
      <c r="F384" s="40"/>
      <c r="G384" s="40"/>
      <c r="H384" s="40"/>
      <c r="I384" s="29"/>
      <c r="J384" s="29"/>
      <c r="K384" s="29"/>
      <c r="L384" s="29"/>
      <c r="M384" s="29"/>
      <c r="N384" s="29"/>
      <c r="O384" s="29"/>
      <c r="P384" s="29"/>
      <c r="Q384" s="29"/>
      <c r="R384" s="29"/>
      <c r="S384" s="29"/>
      <c r="T384" s="29"/>
      <c r="U384" s="29"/>
      <c r="V384" s="29"/>
      <c r="W384" s="29"/>
      <c r="X384" s="29"/>
      <c r="Y384" s="29"/>
      <c r="Z384" s="29"/>
    </row>
    <row r="385" ht="18.75" customHeight="1">
      <c r="A385" s="37"/>
      <c r="B385" s="38"/>
      <c r="C385" s="29"/>
      <c r="D385" s="39"/>
      <c r="E385" s="29"/>
      <c r="F385" s="40"/>
      <c r="G385" s="40"/>
      <c r="H385" s="40"/>
      <c r="I385" s="29"/>
      <c r="J385" s="29"/>
      <c r="K385" s="29"/>
      <c r="L385" s="29"/>
      <c r="M385" s="29"/>
      <c r="N385" s="29"/>
      <c r="O385" s="29"/>
      <c r="P385" s="29"/>
      <c r="Q385" s="29"/>
      <c r="R385" s="29"/>
      <c r="S385" s="29"/>
      <c r="T385" s="29"/>
      <c r="U385" s="29"/>
      <c r="V385" s="29"/>
      <c r="W385" s="29"/>
      <c r="X385" s="29"/>
      <c r="Y385" s="29"/>
      <c r="Z385" s="29"/>
    </row>
    <row r="386" ht="18.75" customHeight="1">
      <c r="A386" s="37"/>
      <c r="B386" s="38"/>
      <c r="C386" s="29"/>
      <c r="D386" s="39"/>
      <c r="E386" s="29"/>
      <c r="F386" s="40"/>
      <c r="G386" s="40"/>
      <c r="H386" s="40"/>
      <c r="I386" s="29"/>
      <c r="J386" s="29"/>
      <c r="K386" s="29"/>
      <c r="L386" s="29"/>
      <c r="M386" s="29"/>
      <c r="N386" s="29"/>
      <c r="O386" s="29"/>
      <c r="P386" s="29"/>
      <c r="Q386" s="29"/>
      <c r="R386" s="29"/>
      <c r="S386" s="29"/>
      <c r="T386" s="29"/>
      <c r="U386" s="29"/>
      <c r="V386" s="29"/>
      <c r="W386" s="29"/>
      <c r="X386" s="29"/>
      <c r="Y386" s="29"/>
      <c r="Z386" s="29"/>
    </row>
    <row r="387" ht="18.75" customHeight="1">
      <c r="A387" s="37"/>
      <c r="B387" s="38"/>
      <c r="C387" s="29"/>
      <c r="D387" s="39"/>
      <c r="E387" s="29"/>
      <c r="F387" s="40"/>
      <c r="G387" s="40"/>
      <c r="H387" s="40"/>
      <c r="I387" s="29"/>
      <c r="J387" s="29"/>
      <c r="K387" s="29"/>
      <c r="L387" s="29"/>
      <c r="M387" s="29"/>
      <c r="N387" s="29"/>
      <c r="O387" s="29"/>
      <c r="P387" s="29"/>
      <c r="Q387" s="29"/>
      <c r="R387" s="29"/>
      <c r="S387" s="29"/>
      <c r="T387" s="29"/>
      <c r="U387" s="29"/>
      <c r="V387" s="29"/>
      <c r="W387" s="29"/>
      <c r="X387" s="29"/>
      <c r="Y387" s="29"/>
      <c r="Z387" s="29"/>
    </row>
    <row r="388" ht="18.75" customHeight="1">
      <c r="A388" s="37"/>
      <c r="B388" s="38"/>
      <c r="C388" s="29"/>
      <c r="D388" s="39"/>
      <c r="E388" s="29"/>
      <c r="F388" s="40"/>
      <c r="G388" s="40"/>
      <c r="H388" s="40"/>
      <c r="I388" s="29"/>
      <c r="J388" s="29"/>
      <c r="K388" s="29"/>
      <c r="L388" s="29"/>
      <c r="M388" s="29"/>
      <c r="N388" s="29"/>
      <c r="O388" s="29"/>
      <c r="P388" s="29"/>
      <c r="Q388" s="29"/>
      <c r="R388" s="29"/>
      <c r="S388" s="29"/>
      <c r="T388" s="29"/>
      <c r="U388" s="29"/>
      <c r="V388" s="29"/>
      <c r="W388" s="29"/>
      <c r="X388" s="29"/>
      <c r="Y388" s="29"/>
      <c r="Z388" s="29"/>
    </row>
    <row r="389" ht="18.75" customHeight="1">
      <c r="A389" s="37"/>
      <c r="B389" s="38"/>
      <c r="C389" s="29"/>
      <c r="D389" s="39"/>
      <c r="E389" s="29"/>
      <c r="F389" s="40"/>
      <c r="G389" s="40"/>
      <c r="H389" s="40"/>
      <c r="I389" s="29"/>
      <c r="J389" s="29"/>
      <c r="K389" s="29"/>
      <c r="L389" s="29"/>
      <c r="M389" s="29"/>
      <c r="N389" s="29"/>
      <c r="O389" s="29"/>
      <c r="P389" s="29"/>
      <c r="Q389" s="29"/>
      <c r="R389" s="29"/>
      <c r="S389" s="29"/>
      <c r="T389" s="29"/>
      <c r="U389" s="29"/>
      <c r="V389" s="29"/>
      <c r="W389" s="29"/>
      <c r="X389" s="29"/>
      <c r="Y389" s="29"/>
      <c r="Z389" s="29"/>
    </row>
    <row r="390" ht="18.75" customHeight="1">
      <c r="A390" s="37"/>
      <c r="B390" s="38"/>
      <c r="C390" s="29"/>
      <c r="D390" s="39"/>
      <c r="E390" s="29"/>
      <c r="F390" s="40"/>
      <c r="G390" s="40"/>
      <c r="H390" s="40"/>
      <c r="I390" s="29"/>
      <c r="J390" s="29"/>
      <c r="K390" s="29"/>
      <c r="L390" s="29"/>
      <c r="M390" s="29"/>
      <c r="N390" s="29"/>
      <c r="O390" s="29"/>
      <c r="P390" s="29"/>
      <c r="Q390" s="29"/>
      <c r="R390" s="29"/>
      <c r="S390" s="29"/>
      <c r="T390" s="29"/>
      <c r="U390" s="29"/>
      <c r="V390" s="29"/>
      <c r="W390" s="29"/>
      <c r="X390" s="29"/>
      <c r="Y390" s="29"/>
      <c r="Z390" s="29"/>
    </row>
    <row r="391" ht="18.75" customHeight="1">
      <c r="A391" s="37"/>
      <c r="B391" s="38"/>
      <c r="C391" s="29"/>
      <c r="D391" s="39"/>
      <c r="E391" s="29"/>
      <c r="F391" s="40"/>
      <c r="G391" s="40"/>
      <c r="H391" s="40"/>
      <c r="I391" s="29"/>
      <c r="J391" s="29"/>
      <c r="K391" s="29"/>
      <c r="L391" s="29"/>
      <c r="M391" s="29"/>
      <c r="N391" s="29"/>
      <c r="O391" s="29"/>
      <c r="P391" s="29"/>
      <c r="Q391" s="29"/>
      <c r="R391" s="29"/>
      <c r="S391" s="29"/>
      <c r="T391" s="29"/>
      <c r="U391" s="29"/>
      <c r="V391" s="29"/>
      <c r="W391" s="29"/>
      <c r="X391" s="29"/>
      <c r="Y391" s="29"/>
      <c r="Z391" s="29"/>
    </row>
    <row r="392" ht="18.75" customHeight="1">
      <c r="A392" s="37"/>
      <c r="B392" s="38"/>
      <c r="C392" s="29"/>
      <c r="D392" s="39"/>
      <c r="E392" s="29"/>
      <c r="F392" s="40"/>
      <c r="G392" s="40"/>
      <c r="H392" s="40"/>
      <c r="I392" s="29"/>
      <c r="J392" s="29"/>
      <c r="K392" s="29"/>
      <c r="L392" s="29"/>
      <c r="M392" s="29"/>
      <c r="N392" s="29"/>
      <c r="O392" s="29"/>
      <c r="P392" s="29"/>
      <c r="Q392" s="29"/>
      <c r="R392" s="29"/>
      <c r="S392" s="29"/>
      <c r="T392" s="29"/>
      <c r="U392" s="29"/>
      <c r="V392" s="29"/>
      <c r="W392" s="29"/>
      <c r="X392" s="29"/>
      <c r="Y392" s="29"/>
      <c r="Z392" s="29"/>
    </row>
    <row r="393" ht="18.75" customHeight="1">
      <c r="A393" s="37"/>
      <c r="B393" s="38"/>
      <c r="C393" s="29"/>
      <c r="D393" s="39"/>
      <c r="E393" s="29"/>
      <c r="F393" s="40"/>
      <c r="G393" s="40"/>
      <c r="H393" s="40"/>
      <c r="I393" s="29"/>
      <c r="J393" s="29"/>
      <c r="K393" s="29"/>
      <c r="L393" s="29"/>
      <c r="M393" s="29"/>
      <c r="N393" s="29"/>
      <c r="O393" s="29"/>
      <c r="P393" s="29"/>
      <c r="Q393" s="29"/>
      <c r="R393" s="29"/>
      <c r="S393" s="29"/>
      <c r="T393" s="29"/>
      <c r="U393" s="29"/>
      <c r="V393" s="29"/>
      <c r="W393" s="29"/>
      <c r="X393" s="29"/>
      <c r="Y393" s="29"/>
      <c r="Z393" s="29"/>
    </row>
    <row r="394" ht="18.75" customHeight="1">
      <c r="A394" s="37"/>
      <c r="B394" s="38"/>
      <c r="C394" s="29"/>
      <c r="D394" s="39"/>
      <c r="E394" s="29"/>
      <c r="F394" s="40"/>
      <c r="G394" s="40"/>
      <c r="H394" s="40"/>
      <c r="I394" s="29"/>
      <c r="J394" s="29"/>
      <c r="K394" s="29"/>
      <c r="L394" s="29"/>
      <c r="M394" s="29"/>
      <c r="N394" s="29"/>
      <c r="O394" s="29"/>
      <c r="P394" s="29"/>
      <c r="Q394" s="29"/>
      <c r="R394" s="29"/>
      <c r="S394" s="29"/>
      <c r="T394" s="29"/>
      <c r="U394" s="29"/>
      <c r="V394" s="29"/>
      <c r="W394" s="29"/>
      <c r="X394" s="29"/>
      <c r="Y394" s="29"/>
      <c r="Z394" s="29"/>
    </row>
    <row r="395" ht="18.75" customHeight="1">
      <c r="A395" s="37"/>
      <c r="B395" s="38"/>
      <c r="C395" s="29"/>
      <c r="D395" s="39"/>
      <c r="E395" s="29"/>
      <c r="F395" s="40"/>
      <c r="G395" s="40"/>
      <c r="H395" s="40"/>
      <c r="I395" s="29"/>
      <c r="J395" s="29"/>
      <c r="K395" s="29"/>
      <c r="L395" s="29"/>
      <c r="M395" s="29"/>
      <c r="N395" s="29"/>
      <c r="O395" s="29"/>
      <c r="P395" s="29"/>
      <c r="Q395" s="29"/>
      <c r="R395" s="29"/>
      <c r="S395" s="29"/>
      <c r="T395" s="29"/>
      <c r="U395" s="29"/>
      <c r="V395" s="29"/>
      <c r="W395" s="29"/>
      <c r="X395" s="29"/>
      <c r="Y395" s="29"/>
      <c r="Z395" s="29"/>
    </row>
    <row r="396" ht="18.75" customHeight="1">
      <c r="A396" s="37"/>
      <c r="B396" s="38"/>
      <c r="C396" s="29"/>
      <c r="D396" s="39"/>
      <c r="E396" s="29"/>
      <c r="F396" s="40"/>
      <c r="G396" s="40"/>
      <c r="H396" s="40"/>
      <c r="I396" s="29"/>
      <c r="J396" s="29"/>
      <c r="K396" s="29"/>
      <c r="L396" s="29"/>
      <c r="M396" s="29"/>
      <c r="N396" s="29"/>
      <c r="O396" s="29"/>
      <c r="P396" s="29"/>
      <c r="Q396" s="29"/>
      <c r="R396" s="29"/>
      <c r="S396" s="29"/>
      <c r="T396" s="29"/>
      <c r="U396" s="29"/>
      <c r="V396" s="29"/>
      <c r="W396" s="29"/>
      <c r="X396" s="29"/>
      <c r="Y396" s="29"/>
      <c r="Z396" s="29"/>
    </row>
    <row r="397" ht="18.75" customHeight="1">
      <c r="A397" s="37"/>
      <c r="B397" s="38"/>
      <c r="C397" s="29"/>
      <c r="D397" s="39"/>
      <c r="E397" s="29"/>
      <c r="F397" s="40"/>
      <c r="G397" s="40"/>
      <c r="H397" s="40"/>
      <c r="I397" s="29"/>
      <c r="J397" s="29"/>
      <c r="K397" s="29"/>
      <c r="L397" s="29"/>
      <c r="M397" s="29"/>
      <c r="N397" s="29"/>
      <c r="O397" s="29"/>
      <c r="P397" s="29"/>
      <c r="Q397" s="29"/>
      <c r="R397" s="29"/>
      <c r="S397" s="29"/>
      <c r="T397" s="29"/>
      <c r="U397" s="29"/>
      <c r="V397" s="29"/>
      <c r="W397" s="29"/>
      <c r="X397" s="29"/>
      <c r="Y397" s="29"/>
      <c r="Z397" s="29"/>
    </row>
    <row r="398" ht="18.75" customHeight="1">
      <c r="A398" s="37"/>
      <c r="B398" s="38"/>
      <c r="C398" s="29"/>
      <c r="D398" s="39"/>
      <c r="E398" s="29"/>
      <c r="F398" s="40"/>
      <c r="G398" s="40"/>
      <c r="H398" s="40"/>
      <c r="I398" s="29"/>
      <c r="J398" s="29"/>
      <c r="K398" s="29"/>
      <c r="L398" s="29"/>
      <c r="M398" s="29"/>
      <c r="N398" s="29"/>
      <c r="O398" s="29"/>
      <c r="P398" s="29"/>
      <c r="Q398" s="29"/>
      <c r="R398" s="29"/>
      <c r="S398" s="29"/>
      <c r="T398" s="29"/>
      <c r="U398" s="29"/>
      <c r="V398" s="29"/>
      <c r="W398" s="29"/>
      <c r="X398" s="29"/>
      <c r="Y398" s="29"/>
      <c r="Z398" s="29"/>
    </row>
    <row r="399" ht="18.75" customHeight="1">
      <c r="A399" s="37"/>
      <c r="B399" s="38"/>
      <c r="C399" s="29"/>
      <c r="D399" s="39"/>
      <c r="E399" s="29"/>
      <c r="F399" s="40"/>
      <c r="G399" s="40"/>
      <c r="H399" s="40"/>
      <c r="I399" s="29"/>
      <c r="J399" s="29"/>
      <c r="K399" s="29"/>
      <c r="L399" s="29"/>
      <c r="M399" s="29"/>
      <c r="N399" s="29"/>
      <c r="O399" s="29"/>
      <c r="P399" s="29"/>
      <c r="Q399" s="29"/>
      <c r="R399" s="29"/>
      <c r="S399" s="29"/>
      <c r="T399" s="29"/>
      <c r="U399" s="29"/>
      <c r="V399" s="29"/>
      <c r="W399" s="29"/>
      <c r="X399" s="29"/>
      <c r="Y399" s="29"/>
      <c r="Z399" s="29"/>
    </row>
    <row r="400" ht="18.75" customHeight="1">
      <c r="A400" s="37"/>
      <c r="B400" s="38"/>
      <c r="C400" s="29"/>
      <c r="D400" s="39"/>
      <c r="E400" s="29"/>
      <c r="F400" s="40"/>
      <c r="G400" s="40"/>
      <c r="H400" s="40"/>
      <c r="I400" s="29"/>
      <c r="J400" s="29"/>
      <c r="K400" s="29"/>
      <c r="L400" s="29"/>
      <c r="M400" s="29"/>
      <c r="N400" s="29"/>
      <c r="O400" s="29"/>
      <c r="P400" s="29"/>
      <c r="Q400" s="29"/>
      <c r="R400" s="29"/>
      <c r="S400" s="29"/>
      <c r="T400" s="29"/>
      <c r="U400" s="29"/>
      <c r="V400" s="29"/>
      <c r="W400" s="29"/>
      <c r="X400" s="29"/>
      <c r="Y400" s="29"/>
      <c r="Z400" s="29"/>
    </row>
    <row r="401" ht="18.75" customHeight="1">
      <c r="A401" s="37"/>
      <c r="B401" s="38"/>
      <c r="C401" s="29"/>
      <c r="D401" s="39"/>
      <c r="E401" s="29"/>
      <c r="F401" s="40"/>
      <c r="G401" s="40"/>
      <c r="H401" s="40"/>
      <c r="I401" s="29"/>
      <c r="J401" s="29"/>
      <c r="K401" s="29"/>
      <c r="L401" s="29"/>
      <c r="M401" s="29"/>
      <c r="N401" s="29"/>
      <c r="O401" s="29"/>
      <c r="P401" s="29"/>
      <c r="Q401" s="29"/>
      <c r="R401" s="29"/>
      <c r="S401" s="29"/>
      <c r="T401" s="29"/>
      <c r="U401" s="29"/>
      <c r="V401" s="29"/>
      <c r="W401" s="29"/>
      <c r="X401" s="29"/>
      <c r="Y401" s="29"/>
      <c r="Z401" s="29"/>
    </row>
    <row r="402" ht="18.75" customHeight="1">
      <c r="A402" s="37"/>
      <c r="B402" s="38"/>
      <c r="C402" s="29"/>
      <c r="D402" s="39"/>
      <c r="E402" s="29"/>
      <c r="F402" s="40"/>
      <c r="G402" s="40"/>
      <c r="H402" s="40"/>
      <c r="I402" s="29"/>
      <c r="J402" s="29"/>
      <c r="K402" s="29"/>
      <c r="L402" s="29"/>
      <c r="M402" s="29"/>
      <c r="N402" s="29"/>
      <c r="O402" s="29"/>
      <c r="P402" s="29"/>
      <c r="Q402" s="29"/>
      <c r="R402" s="29"/>
      <c r="S402" s="29"/>
      <c r="T402" s="29"/>
      <c r="U402" s="29"/>
      <c r="V402" s="29"/>
      <c r="W402" s="29"/>
      <c r="X402" s="29"/>
      <c r="Y402" s="29"/>
      <c r="Z402" s="29"/>
    </row>
    <row r="403" ht="18.75" customHeight="1">
      <c r="A403" s="37"/>
      <c r="B403" s="38"/>
      <c r="C403" s="29"/>
      <c r="D403" s="39"/>
      <c r="E403" s="29"/>
      <c r="F403" s="40"/>
      <c r="G403" s="40"/>
      <c r="H403" s="40"/>
      <c r="I403" s="29"/>
      <c r="J403" s="29"/>
      <c r="K403" s="29"/>
      <c r="L403" s="29"/>
      <c r="M403" s="29"/>
      <c r="N403" s="29"/>
      <c r="O403" s="29"/>
      <c r="P403" s="29"/>
      <c r="Q403" s="29"/>
      <c r="R403" s="29"/>
      <c r="S403" s="29"/>
      <c r="T403" s="29"/>
      <c r="U403" s="29"/>
      <c r="V403" s="29"/>
      <c r="W403" s="29"/>
      <c r="X403" s="29"/>
      <c r="Y403" s="29"/>
      <c r="Z403" s="29"/>
    </row>
    <row r="404" ht="18.75" customHeight="1">
      <c r="A404" s="37"/>
      <c r="B404" s="38"/>
      <c r="C404" s="29"/>
      <c r="D404" s="39"/>
      <c r="E404" s="29"/>
      <c r="F404" s="40"/>
      <c r="G404" s="40"/>
      <c r="H404" s="40"/>
      <c r="I404" s="29"/>
      <c r="J404" s="29"/>
      <c r="K404" s="29"/>
      <c r="L404" s="29"/>
      <c r="M404" s="29"/>
      <c r="N404" s="29"/>
      <c r="O404" s="29"/>
      <c r="P404" s="29"/>
      <c r="Q404" s="29"/>
      <c r="R404" s="29"/>
      <c r="S404" s="29"/>
      <c r="T404" s="29"/>
      <c r="U404" s="29"/>
      <c r="V404" s="29"/>
      <c r="W404" s="29"/>
      <c r="X404" s="29"/>
      <c r="Y404" s="29"/>
      <c r="Z404" s="29"/>
    </row>
    <row r="405" ht="18.75" customHeight="1">
      <c r="A405" s="37"/>
      <c r="B405" s="38"/>
      <c r="C405" s="29"/>
      <c r="D405" s="39"/>
      <c r="E405" s="29"/>
      <c r="F405" s="40"/>
      <c r="G405" s="40"/>
      <c r="H405" s="40"/>
      <c r="I405" s="29"/>
      <c r="J405" s="29"/>
      <c r="K405" s="29"/>
      <c r="L405" s="29"/>
      <c r="M405" s="29"/>
      <c r="N405" s="29"/>
      <c r="O405" s="29"/>
      <c r="P405" s="29"/>
      <c r="Q405" s="29"/>
      <c r="R405" s="29"/>
      <c r="S405" s="29"/>
      <c r="T405" s="29"/>
      <c r="U405" s="29"/>
      <c r="V405" s="29"/>
      <c r="W405" s="29"/>
      <c r="X405" s="29"/>
      <c r="Y405" s="29"/>
      <c r="Z405" s="29"/>
    </row>
    <row r="406" ht="18.75" customHeight="1">
      <c r="A406" s="37"/>
      <c r="B406" s="38"/>
      <c r="C406" s="29"/>
      <c r="D406" s="39"/>
      <c r="E406" s="29"/>
      <c r="F406" s="40"/>
      <c r="G406" s="40"/>
      <c r="H406" s="40"/>
      <c r="I406" s="29"/>
      <c r="J406" s="29"/>
      <c r="K406" s="29"/>
      <c r="L406" s="29"/>
      <c r="M406" s="29"/>
      <c r="N406" s="29"/>
      <c r="O406" s="29"/>
      <c r="P406" s="29"/>
      <c r="Q406" s="29"/>
      <c r="R406" s="29"/>
      <c r="S406" s="29"/>
      <c r="T406" s="29"/>
      <c r="U406" s="29"/>
      <c r="V406" s="29"/>
      <c r="W406" s="29"/>
      <c r="X406" s="29"/>
      <c r="Y406" s="29"/>
      <c r="Z406" s="29"/>
    </row>
    <row r="407" ht="18.75" customHeight="1">
      <c r="A407" s="37"/>
      <c r="B407" s="38"/>
      <c r="C407" s="29"/>
      <c r="D407" s="39"/>
      <c r="E407" s="29"/>
      <c r="F407" s="40"/>
      <c r="G407" s="40"/>
      <c r="H407" s="40"/>
      <c r="I407" s="29"/>
      <c r="J407" s="29"/>
      <c r="K407" s="29"/>
      <c r="L407" s="29"/>
      <c r="M407" s="29"/>
      <c r="N407" s="29"/>
      <c r="O407" s="29"/>
      <c r="P407" s="29"/>
      <c r="Q407" s="29"/>
      <c r="R407" s="29"/>
      <c r="S407" s="29"/>
      <c r="T407" s="29"/>
      <c r="U407" s="29"/>
      <c r="V407" s="29"/>
      <c r="W407" s="29"/>
      <c r="X407" s="29"/>
      <c r="Y407" s="29"/>
      <c r="Z407" s="29"/>
    </row>
    <row r="408" ht="18.75" customHeight="1">
      <c r="A408" s="37"/>
      <c r="B408" s="38"/>
      <c r="C408" s="29"/>
      <c r="D408" s="39"/>
      <c r="E408" s="29"/>
      <c r="F408" s="40"/>
      <c r="G408" s="40"/>
      <c r="H408" s="40"/>
      <c r="I408" s="29"/>
      <c r="J408" s="29"/>
      <c r="K408" s="29"/>
      <c r="L408" s="29"/>
      <c r="M408" s="29"/>
      <c r="N408" s="29"/>
      <c r="O408" s="29"/>
      <c r="P408" s="29"/>
      <c r="Q408" s="29"/>
      <c r="R408" s="29"/>
      <c r="S408" s="29"/>
      <c r="T408" s="29"/>
      <c r="U408" s="29"/>
      <c r="V408" s="29"/>
      <c r="W408" s="29"/>
      <c r="X408" s="29"/>
      <c r="Y408" s="29"/>
      <c r="Z408" s="29"/>
    </row>
    <row r="409" ht="18.75" customHeight="1">
      <c r="A409" s="37"/>
      <c r="B409" s="38"/>
      <c r="C409" s="29"/>
      <c r="D409" s="39"/>
      <c r="E409" s="29"/>
      <c r="F409" s="40"/>
      <c r="G409" s="40"/>
      <c r="H409" s="40"/>
      <c r="I409" s="29"/>
      <c r="J409" s="29"/>
      <c r="K409" s="29"/>
      <c r="L409" s="29"/>
      <c r="M409" s="29"/>
      <c r="N409" s="29"/>
      <c r="O409" s="29"/>
      <c r="P409" s="29"/>
      <c r="Q409" s="29"/>
      <c r="R409" s="29"/>
      <c r="S409" s="29"/>
      <c r="T409" s="29"/>
      <c r="U409" s="29"/>
      <c r="V409" s="29"/>
      <c r="W409" s="29"/>
      <c r="X409" s="29"/>
      <c r="Y409" s="29"/>
      <c r="Z409" s="29"/>
    </row>
    <row r="410" ht="18.75" customHeight="1">
      <c r="A410" s="37"/>
      <c r="B410" s="38"/>
      <c r="C410" s="29"/>
      <c r="D410" s="39"/>
      <c r="E410" s="29"/>
      <c r="F410" s="40"/>
      <c r="G410" s="40"/>
      <c r="H410" s="40"/>
      <c r="I410" s="29"/>
      <c r="J410" s="29"/>
      <c r="K410" s="29"/>
      <c r="L410" s="29"/>
      <c r="M410" s="29"/>
      <c r="N410" s="29"/>
      <c r="O410" s="29"/>
      <c r="P410" s="29"/>
      <c r="Q410" s="29"/>
      <c r="R410" s="29"/>
      <c r="S410" s="29"/>
      <c r="T410" s="29"/>
      <c r="U410" s="29"/>
      <c r="V410" s="29"/>
      <c r="W410" s="29"/>
      <c r="X410" s="29"/>
      <c r="Y410" s="29"/>
      <c r="Z410" s="29"/>
    </row>
    <row r="411" ht="18.75" customHeight="1">
      <c r="A411" s="37"/>
      <c r="B411" s="38"/>
      <c r="C411" s="29"/>
      <c r="D411" s="39"/>
      <c r="E411" s="29"/>
      <c r="F411" s="40"/>
      <c r="G411" s="40"/>
      <c r="H411" s="40"/>
      <c r="I411" s="29"/>
      <c r="J411" s="29"/>
      <c r="K411" s="29"/>
      <c r="L411" s="29"/>
      <c r="M411" s="29"/>
      <c r="N411" s="29"/>
      <c r="O411" s="29"/>
      <c r="P411" s="29"/>
      <c r="Q411" s="29"/>
      <c r="R411" s="29"/>
      <c r="S411" s="29"/>
      <c r="T411" s="29"/>
      <c r="U411" s="29"/>
      <c r="V411" s="29"/>
      <c r="W411" s="29"/>
      <c r="X411" s="29"/>
      <c r="Y411" s="29"/>
      <c r="Z411" s="29"/>
    </row>
    <row r="412" ht="18.75" customHeight="1">
      <c r="A412" s="37"/>
      <c r="B412" s="38"/>
      <c r="C412" s="29"/>
      <c r="D412" s="39"/>
      <c r="E412" s="29"/>
      <c r="F412" s="40"/>
      <c r="G412" s="40"/>
      <c r="H412" s="40"/>
      <c r="I412" s="29"/>
      <c r="J412" s="29"/>
      <c r="K412" s="29"/>
      <c r="L412" s="29"/>
      <c r="M412" s="29"/>
      <c r="N412" s="29"/>
      <c r="O412" s="29"/>
      <c r="P412" s="29"/>
      <c r="Q412" s="29"/>
      <c r="R412" s="29"/>
      <c r="S412" s="29"/>
      <c r="T412" s="29"/>
      <c r="U412" s="29"/>
      <c r="V412" s="29"/>
      <c r="W412" s="29"/>
      <c r="X412" s="29"/>
      <c r="Y412" s="29"/>
      <c r="Z412" s="29"/>
    </row>
    <row r="413" ht="18.75" customHeight="1">
      <c r="A413" s="37"/>
      <c r="B413" s="38"/>
      <c r="C413" s="29"/>
      <c r="D413" s="39"/>
      <c r="E413" s="29"/>
      <c r="F413" s="40"/>
      <c r="G413" s="40"/>
      <c r="H413" s="40"/>
      <c r="I413" s="29"/>
      <c r="J413" s="29"/>
      <c r="K413" s="29"/>
      <c r="L413" s="29"/>
      <c r="M413" s="29"/>
      <c r="N413" s="29"/>
      <c r="O413" s="29"/>
      <c r="P413" s="29"/>
      <c r="Q413" s="29"/>
      <c r="R413" s="29"/>
      <c r="S413" s="29"/>
      <c r="T413" s="29"/>
      <c r="U413" s="29"/>
      <c r="V413" s="29"/>
      <c r="W413" s="29"/>
      <c r="X413" s="29"/>
      <c r="Y413" s="29"/>
      <c r="Z413" s="29"/>
    </row>
    <row r="414" ht="18.75" customHeight="1">
      <c r="A414" s="37"/>
      <c r="B414" s="38"/>
      <c r="C414" s="29"/>
      <c r="D414" s="39"/>
      <c r="E414" s="29"/>
      <c r="F414" s="40"/>
      <c r="G414" s="40"/>
      <c r="H414" s="40"/>
      <c r="I414" s="29"/>
      <c r="J414" s="29"/>
      <c r="K414" s="29"/>
      <c r="L414" s="29"/>
      <c r="M414" s="29"/>
      <c r="N414" s="29"/>
      <c r="O414" s="29"/>
      <c r="P414" s="29"/>
      <c r="Q414" s="29"/>
      <c r="R414" s="29"/>
      <c r="S414" s="29"/>
      <c r="T414" s="29"/>
      <c r="U414" s="29"/>
      <c r="V414" s="29"/>
      <c r="W414" s="29"/>
      <c r="X414" s="29"/>
      <c r="Y414" s="29"/>
      <c r="Z414" s="29"/>
    </row>
    <row r="415" ht="18.75" customHeight="1">
      <c r="A415" s="37"/>
      <c r="B415" s="38"/>
      <c r="C415" s="29"/>
      <c r="D415" s="39"/>
      <c r="E415" s="29"/>
      <c r="F415" s="40"/>
      <c r="G415" s="40"/>
      <c r="H415" s="40"/>
      <c r="I415" s="29"/>
      <c r="J415" s="29"/>
      <c r="K415" s="29"/>
      <c r="L415" s="29"/>
      <c r="M415" s="29"/>
      <c r="N415" s="29"/>
      <c r="O415" s="29"/>
      <c r="P415" s="29"/>
      <c r="Q415" s="29"/>
      <c r="R415" s="29"/>
      <c r="S415" s="29"/>
      <c r="T415" s="29"/>
      <c r="U415" s="29"/>
      <c r="V415" s="29"/>
      <c r="W415" s="29"/>
      <c r="X415" s="29"/>
      <c r="Y415" s="29"/>
      <c r="Z415" s="29"/>
    </row>
    <row r="416" ht="18.75" customHeight="1">
      <c r="A416" s="37"/>
      <c r="B416" s="38"/>
      <c r="C416" s="29"/>
      <c r="D416" s="39"/>
      <c r="E416" s="29"/>
      <c r="F416" s="40"/>
      <c r="G416" s="40"/>
      <c r="H416" s="40"/>
      <c r="I416" s="29"/>
      <c r="J416" s="29"/>
      <c r="K416" s="29"/>
      <c r="L416" s="29"/>
      <c r="M416" s="29"/>
      <c r="N416" s="29"/>
      <c r="O416" s="29"/>
      <c r="P416" s="29"/>
      <c r="Q416" s="29"/>
      <c r="R416" s="29"/>
      <c r="S416" s="29"/>
      <c r="T416" s="29"/>
      <c r="U416" s="29"/>
      <c r="V416" s="29"/>
      <c r="W416" s="29"/>
      <c r="X416" s="29"/>
      <c r="Y416" s="29"/>
      <c r="Z416" s="29"/>
    </row>
    <row r="417" ht="18.75" customHeight="1">
      <c r="A417" s="37"/>
      <c r="B417" s="38"/>
      <c r="C417" s="29"/>
      <c r="D417" s="39"/>
      <c r="E417" s="29"/>
      <c r="F417" s="40"/>
      <c r="G417" s="40"/>
      <c r="H417" s="40"/>
      <c r="I417" s="29"/>
      <c r="J417" s="29"/>
      <c r="K417" s="29"/>
      <c r="L417" s="29"/>
      <c r="M417" s="29"/>
      <c r="N417" s="29"/>
      <c r="O417" s="29"/>
      <c r="P417" s="29"/>
      <c r="Q417" s="29"/>
      <c r="R417" s="29"/>
      <c r="S417" s="29"/>
      <c r="T417" s="29"/>
      <c r="U417" s="29"/>
      <c r="V417" s="29"/>
      <c r="W417" s="29"/>
      <c r="X417" s="29"/>
      <c r="Y417" s="29"/>
      <c r="Z417" s="29"/>
    </row>
    <row r="418" ht="18.75" customHeight="1">
      <c r="A418" s="37"/>
      <c r="B418" s="38"/>
      <c r="C418" s="29"/>
      <c r="D418" s="39"/>
      <c r="E418" s="29"/>
      <c r="F418" s="40"/>
      <c r="G418" s="40"/>
      <c r="H418" s="40"/>
      <c r="I418" s="29"/>
      <c r="J418" s="29"/>
      <c r="K418" s="29"/>
      <c r="L418" s="29"/>
      <c r="M418" s="29"/>
      <c r="N418" s="29"/>
      <c r="O418" s="29"/>
      <c r="P418" s="29"/>
      <c r="Q418" s="29"/>
      <c r="R418" s="29"/>
      <c r="S418" s="29"/>
      <c r="T418" s="29"/>
      <c r="U418" s="29"/>
      <c r="V418" s="29"/>
      <c r="W418" s="29"/>
      <c r="X418" s="29"/>
      <c r="Y418" s="29"/>
      <c r="Z418" s="29"/>
    </row>
    <row r="419" ht="18.75" customHeight="1">
      <c r="A419" s="37"/>
      <c r="B419" s="38"/>
      <c r="C419" s="29"/>
      <c r="D419" s="39"/>
      <c r="E419" s="29"/>
      <c r="F419" s="40"/>
      <c r="G419" s="40"/>
      <c r="H419" s="40"/>
      <c r="I419" s="29"/>
      <c r="J419" s="29"/>
      <c r="K419" s="29"/>
      <c r="L419" s="29"/>
      <c r="M419" s="29"/>
      <c r="N419" s="29"/>
      <c r="O419" s="29"/>
      <c r="P419" s="29"/>
      <c r="Q419" s="29"/>
      <c r="R419" s="29"/>
      <c r="S419" s="29"/>
      <c r="T419" s="29"/>
      <c r="U419" s="29"/>
      <c r="V419" s="29"/>
      <c r="W419" s="29"/>
      <c r="X419" s="29"/>
      <c r="Y419" s="29"/>
      <c r="Z419" s="29"/>
    </row>
    <row r="420" ht="18.75" customHeight="1">
      <c r="A420" s="37"/>
      <c r="B420" s="38"/>
      <c r="C420" s="29"/>
      <c r="D420" s="39"/>
      <c r="E420" s="29"/>
      <c r="F420" s="40"/>
      <c r="G420" s="40"/>
      <c r="H420" s="40"/>
      <c r="I420" s="29"/>
      <c r="J420" s="29"/>
      <c r="K420" s="29"/>
      <c r="L420" s="29"/>
      <c r="M420" s="29"/>
      <c r="N420" s="29"/>
      <c r="O420" s="29"/>
      <c r="P420" s="29"/>
      <c r="Q420" s="29"/>
      <c r="R420" s="29"/>
      <c r="S420" s="29"/>
      <c r="T420" s="29"/>
      <c r="U420" s="29"/>
      <c r="V420" s="29"/>
      <c r="W420" s="29"/>
      <c r="X420" s="29"/>
      <c r="Y420" s="29"/>
      <c r="Z420" s="29"/>
    </row>
    <row r="421" ht="18.75" customHeight="1">
      <c r="A421" s="37"/>
      <c r="B421" s="38"/>
      <c r="C421" s="29"/>
      <c r="D421" s="39"/>
      <c r="E421" s="29"/>
      <c r="F421" s="40"/>
      <c r="G421" s="40"/>
      <c r="H421" s="40"/>
      <c r="I421" s="29"/>
      <c r="J421" s="29"/>
      <c r="K421" s="29"/>
      <c r="L421" s="29"/>
      <c r="M421" s="29"/>
      <c r="N421" s="29"/>
      <c r="O421" s="29"/>
      <c r="P421" s="29"/>
      <c r="Q421" s="29"/>
      <c r="R421" s="29"/>
      <c r="S421" s="29"/>
      <c r="T421" s="29"/>
      <c r="U421" s="29"/>
      <c r="V421" s="29"/>
      <c r="W421" s="29"/>
      <c r="X421" s="29"/>
      <c r="Y421" s="29"/>
      <c r="Z421" s="29"/>
    </row>
    <row r="422" ht="18.75" customHeight="1">
      <c r="A422" s="37"/>
      <c r="B422" s="38"/>
      <c r="C422" s="29"/>
      <c r="D422" s="39"/>
      <c r="E422" s="29"/>
      <c r="F422" s="40"/>
      <c r="G422" s="40"/>
      <c r="H422" s="40"/>
      <c r="I422" s="29"/>
      <c r="J422" s="29"/>
      <c r="K422" s="29"/>
      <c r="L422" s="29"/>
      <c r="M422" s="29"/>
      <c r="N422" s="29"/>
      <c r="O422" s="29"/>
      <c r="P422" s="29"/>
      <c r="Q422" s="29"/>
      <c r="R422" s="29"/>
      <c r="S422" s="29"/>
      <c r="T422" s="29"/>
      <c r="U422" s="29"/>
      <c r="V422" s="29"/>
      <c r="W422" s="29"/>
      <c r="X422" s="29"/>
      <c r="Y422" s="29"/>
      <c r="Z422" s="29"/>
    </row>
    <row r="423" ht="18.75" customHeight="1">
      <c r="A423" s="37"/>
      <c r="B423" s="38"/>
      <c r="C423" s="29"/>
      <c r="D423" s="39"/>
      <c r="E423" s="29"/>
      <c r="F423" s="40"/>
      <c r="G423" s="40"/>
      <c r="H423" s="40"/>
      <c r="I423" s="29"/>
      <c r="J423" s="29"/>
      <c r="K423" s="29"/>
      <c r="L423" s="29"/>
      <c r="M423" s="29"/>
      <c r="N423" s="29"/>
      <c r="O423" s="29"/>
      <c r="P423" s="29"/>
      <c r="Q423" s="29"/>
      <c r="R423" s="29"/>
      <c r="S423" s="29"/>
      <c r="T423" s="29"/>
      <c r="U423" s="29"/>
      <c r="V423" s="29"/>
      <c r="W423" s="29"/>
      <c r="X423" s="29"/>
      <c r="Y423" s="29"/>
      <c r="Z423" s="29"/>
    </row>
    <row r="424" ht="18.75" customHeight="1">
      <c r="A424" s="37"/>
      <c r="B424" s="38"/>
      <c r="C424" s="29"/>
      <c r="D424" s="39"/>
      <c r="E424" s="29"/>
      <c r="F424" s="40"/>
      <c r="G424" s="40"/>
      <c r="H424" s="40"/>
      <c r="I424" s="29"/>
      <c r="J424" s="29"/>
      <c r="K424" s="29"/>
      <c r="L424" s="29"/>
      <c r="M424" s="29"/>
      <c r="N424" s="29"/>
      <c r="O424" s="29"/>
      <c r="P424" s="29"/>
      <c r="Q424" s="29"/>
      <c r="R424" s="29"/>
      <c r="S424" s="29"/>
      <c r="T424" s="29"/>
      <c r="U424" s="29"/>
      <c r="V424" s="29"/>
      <c r="W424" s="29"/>
      <c r="X424" s="29"/>
      <c r="Y424" s="29"/>
      <c r="Z424" s="29"/>
    </row>
    <row r="425" ht="18.75" customHeight="1">
      <c r="A425" s="37"/>
      <c r="B425" s="38"/>
      <c r="C425" s="29"/>
      <c r="D425" s="39"/>
      <c r="E425" s="29"/>
      <c r="F425" s="40"/>
      <c r="G425" s="40"/>
      <c r="H425" s="40"/>
      <c r="I425" s="29"/>
      <c r="J425" s="29"/>
      <c r="K425" s="29"/>
      <c r="L425" s="29"/>
      <c r="M425" s="29"/>
      <c r="N425" s="29"/>
      <c r="O425" s="29"/>
      <c r="P425" s="29"/>
      <c r="Q425" s="29"/>
      <c r="R425" s="29"/>
      <c r="S425" s="29"/>
      <c r="T425" s="29"/>
      <c r="U425" s="29"/>
      <c r="V425" s="29"/>
      <c r="W425" s="29"/>
      <c r="X425" s="29"/>
      <c r="Y425" s="29"/>
      <c r="Z425" s="29"/>
    </row>
    <row r="426" ht="18.75" customHeight="1">
      <c r="A426" s="37"/>
      <c r="B426" s="38"/>
      <c r="C426" s="29"/>
      <c r="D426" s="39"/>
      <c r="E426" s="29"/>
      <c r="F426" s="40"/>
      <c r="G426" s="40"/>
      <c r="H426" s="40"/>
      <c r="I426" s="29"/>
      <c r="J426" s="29"/>
      <c r="K426" s="29"/>
      <c r="L426" s="29"/>
      <c r="M426" s="29"/>
      <c r="N426" s="29"/>
      <c r="O426" s="29"/>
      <c r="P426" s="29"/>
      <c r="Q426" s="29"/>
      <c r="R426" s="29"/>
      <c r="S426" s="29"/>
      <c r="T426" s="29"/>
      <c r="U426" s="29"/>
      <c r="V426" s="29"/>
      <c r="W426" s="29"/>
      <c r="X426" s="29"/>
      <c r="Y426" s="29"/>
      <c r="Z426" s="29"/>
    </row>
    <row r="427" ht="18.75" customHeight="1">
      <c r="A427" s="37"/>
      <c r="B427" s="38"/>
      <c r="C427" s="29"/>
      <c r="D427" s="39"/>
      <c r="E427" s="29"/>
      <c r="F427" s="40"/>
      <c r="G427" s="40"/>
      <c r="H427" s="40"/>
      <c r="I427" s="29"/>
      <c r="J427" s="29"/>
      <c r="K427" s="29"/>
      <c r="L427" s="29"/>
      <c r="M427" s="29"/>
      <c r="N427" s="29"/>
      <c r="O427" s="29"/>
      <c r="P427" s="29"/>
      <c r="Q427" s="29"/>
      <c r="R427" s="29"/>
      <c r="S427" s="29"/>
      <c r="T427" s="29"/>
      <c r="U427" s="29"/>
      <c r="V427" s="29"/>
      <c r="W427" s="29"/>
      <c r="X427" s="29"/>
      <c r="Y427" s="29"/>
      <c r="Z427" s="29"/>
    </row>
    <row r="428" ht="18.75" customHeight="1">
      <c r="A428" s="37"/>
      <c r="B428" s="38"/>
      <c r="C428" s="29"/>
      <c r="D428" s="39"/>
      <c r="E428" s="29"/>
      <c r="F428" s="40"/>
      <c r="G428" s="40"/>
      <c r="H428" s="40"/>
      <c r="I428" s="29"/>
      <c r="J428" s="29"/>
      <c r="K428" s="29"/>
      <c r="L428" s="29"/>
      <c r="M428" s="29"/>
      <c r="N428" s="29"/>
      <c r="O428" s="29"/>
      <c r="P428" s="29"/>
      <c r="Q428" s="29"/>
      <c r="R428" s="29"/>
      <c r="S428" s="29"/>
      <c r="T428" s="29"/>
      <c r="U428" s="29"/>
      <c r="V428" s="29"/>
      <c r="W428" s="29"/>
      <c r="X428" s="29"/>
      <c r="Y428" s="29"/>
      <c r="Z428" s="29"/>
    </row>
    <row r="429" ht="18.75" customHeight="1">
      <c r="A429" s="37"/>
      <c r="B429" s="38"/>
      <c r="C429" s="29"/>
      <c r="D429" s="39"/>
      <c r="E429" s="29"/>
      <c r="F429" s="40"/>
      <c r="G429" s="40"/>
      <c r="H429" s="40"/>
      <c r="I429" s="29"/>
      <c r="J429" s="29"/>
      <c r="K429" s="29"/>
      <c r="L429" s="29"/>
      <c r="M429" s="29"/>
      <c r="N429" s="29"/>
      <c r="O429" s="29"/>
      <c r="P429" s="29"/>
      <c r="Q429" s="29"/>
      <c r="R429" s="29"/>
      <c r="S429" s="29"/>
      <c r="T429" s="29"/>
      <c r="U429" s="29"/>
      <c r="V429" s="29"/>
      <c r="W429" s="29"/>
      <c r="X429" s="29"/>
      <c r="Y429" s="29"/>
      <c r="Z429" s="29"/>
    </row>
    <row r="430" ht="18.75" customHeight="1">
      <c r="A430" s="37"/>
      <c r="B430" s="38"/>
      <c r="C430" s="29"/>
      <c r="D430" s="39"/>
      <c r="E430" s="29"/>
      <c r="F430" s="40"/>
      <c r="G430" s="40"/>
      <c r="H430" s="40"/>
      <c r="I430" s="29"/>
      <c r="J430" s="29"/>
      <c r="K430" s="29"/>
      <c r="L430" s="29"/>
      <c r="M430" s="29"/>
      <c r="N430" s="29"/>
      <c r="O430" s="29"/>
      <c r="P430" s="29"/>
      <c r="Q430" s="29"/>
      <c r="R430" s="29"/>
      <c r="S430" s="29"/>
      <c r="T430" s="29"/>
      <c r="U430" s="29"/>
      <c r="V430" s="29"/>
      <c r="W430" s="29"/>
      <c r="X430" s="29"/>
      <c r="Y430" s="29"/>
      <c r="Z430" s="29"/>
    </row>
    <row r="431" ht="18.75" customHeight="1">
      <c r="A431" s="37"/>
      <c r="B431" s="38"/>
      <c r="C431" s="29"/>
      <c r="D431" s="39"/>
      <c r="E431" s="29"/>
      <c r="F431" s="40"/>
      <c r="G431" s="40"/>
      <c r="H431" s="40"/>
      <c r="I431" s="29"/>
      <c r="J431" s="29"/>
      <c r="K431" s="29"/>
      <c r="L431" s="29"/>
      <c r="M431" s="29"/>
      <c r="N431" s="29"/>
      <c r="O431" s="29"/>
      <c r="P431" s="29"/>
      <c r="Q431" s="29"/>
      <c r="R431" s="29"/>
      <c r="S431" s="29"/>
      <c r="T431" s="29"/>
      <c r="U431" s="29"/>
      <c r="V431" s="29"/>
      <c r="W431" s="29"/>
      <c r="X431" s="29"/>
      <c r="Y431" s="29"/>
      <c r="Z431" s="29"/>
    </row>
    <row r="432" ht="18.75" customHeight="1">
      <c r="A432" s="37"/>
      <c r="B432" s="38"/>
      <c r="C432" s="29"/>
      <c r="D432" s="39"/>
      <c r="E432" s="29"/>
      <c r="F432" s="40"/>
      <c r="G432" s="40"/>
      <c r="H432" s="40"/>
      <c r="I432" s="29"/>
      <c r="J432" s="29"/>
      <c r="K432" s="29"/>
      <c r="L432" s="29"/>
      <c r="M432" s="29"/>
      <c r="N432" s="29"/>
      <c r="O432" s="29"/>
      <c r="P432" s="29"/>
      <c r="Q432" s="29"/>
      <c r="R432" s="29"/>
      <c r="S432" s="29"/>
      <c r="T432" s="29"/>
      <c r="U432" s="29"/>
      <c r="V432" s="29"/>
      <c r="W432" s="29"/>
      <c r="X432" s="29"/>
      <c r="Y432" s="29"/>
      <c r="Z432" s="29"/>
    </row>
    <row r="433" ht="18.75" customHeight="1">
      <c r="A433" s="37"/>
      <c r="B433" s="38"/>
      <c r="C433" s="29"/>
      <c r="D433" s="39"/>
      <c r="E433" s="29"/>
      <c r="F433" s="40"/>
      <c r="G433" s="40"/>
      <c r="H433" s="40"/>
      <c r="I433" s="29"/>
      <c r="J433" s="29"/>
      <c r="K433" s="29"/>
      <c r="L433" s="29"/>
      <c r="M433" s="29"/>
      <c r="N433" s="29"/>
      <c r="O433" s="29"/>
      <c r="P433" s="29"/>
      <c r="Q433" s="29"/>
      <c r="R433" s="29"/>
      <c r="S433" s="29"/>
      <c r="T433" s="29"/>
      <c r="U433" s="29"/>
      <c r="V433" s="29"/>
      <c r="W433" s="29"/>
      <c r="X433" s="29"/>
      <c r="Y433" s="29"/>
      <c r="Z433" s="29"/>
    </row>
    <row r="434" ht="18.75" customHeight="1">
      <c r="A434" s="37"/>
      <c r="B434" s="38"/>
      <c r="C434" s="29"/>
      <c r="D434" s="39"/>
      <c r="E434" s="29"/>
      <c r="F434" s="40"/>
      <c r="G434" s="40"/>
      <c r="H434" s="40"/>
      <c r="I434" s="29"/>
      <c r="J434" s="29"/>
      <c r="K434" s="29"/>
      <c r="L434" s="29"/>
      <c r="M434" s="29"/>
      <c r="N434" s="29"/>
      <c r="O434" s="29"/>
      <c r="P434" s="29"/>
      <c r="Q434" s="29"/>
      <c r="R434" s="29"/>
      <c r="S434" s="29"/>
      <c r="T434" s="29"/>
      <c r="U434" s="29"/>
      <c r="V434" s="29"/>
      <c r="W434" s="29"/>
      <c r="X434" s="29"/>
      <c r="Y434" s="29"/>
      <c r="Z434" s="29"/>
    </row>
    <row r="435" ht="18.75" customHeight="1">
      <c r="A435" s="37"/>
      <c r="B435" s="38"/>
      <c r="C435" s="29"/>
      <c r="D435" s="39"/>
      <c r="E435" s="29"/>
      <c r="F435" s="40"/>
      <c r="G435" s="40"/>
      <c r="H435" s="40"/>
      <c r="I435" s="29"/>
      <c r="J435" s="29"/>
      <c r="K435" s="29"/>
      <c r="L435" s="29"/>
      <c r="M435" s="29"/>
      <c r="N435" s="29"/>
      <c r="O435" s="29"/>
      <c r="P435" s="29"/>
      <c r="Q435" s="29"/>
      <c r="R435" s="29"/>
      <c r="S435" s="29"/>
      <c r="T435" s="29"/>
      <c r="U435" s="29"/>
      <c r="V435" s="29"/>
      <c r="W435" s="29"/>
      <c r="X435" s="29"/>
      <c r="Y435" s="29"/>
      <c r="Z435" s="29"/>
    </row>
    <row r="436" ht="18.75" customHeight="1">
      <c r="A436" s="37"/>
      <c r="B436" s="38"/>
      <c r="C436" s="29"/>
      <c r="D436" s="39"/>
      <c r="E436" s="29"/>
      <c r="F436" s="40"/>
      <c r="G436" s="40"/>
      <c r="H436" s="40"/>
      <c r="I436" s="29"/>
      <c r="J436" s="29"/>
      <c r="K436" s="29"/>
      <c r="L436" s="29"/>
      <c r="M436" s="29"/>
      <c r="N436" s="29"/>
      <c r="O436" s="29"/>
      <c r="P436" s="29"/>
      <c r="Q436" s="29"/>
      <c r="R436" s="29"/>
      <c r="S436" s="29"/>
      <c r="T436" s="29"/>
      <c r="U436" s="29"/>
      <c r="V436" s="29"/>
      <c r="W436" s="29"/>
      <c r="X436" s="29"/>
      <c r="Y436" s="29"/>
      <c r="Z436" s="29"/>
    </row>
    <row r="437" ht="18.75" customHeight="1">
      <c r="A437" s="37"/>
      <c r="B437" s="38"/>
      <c r="C437" s="29"/>
      <c r="D437" s="39"/>
      <c r="E437" s="29"/>
      <c r="F437" s="40"/>
      <c r="G437" s="40"/>
      <c r="H437" s="40"/>
      <c r="I437" s="29"/>
      <c r="J437" s="29"/>
      <c r="K437" s="29"/>
      <c r="L437" s="29"/>
      <c r="M437" s="29"/>
      <c r="N437" s="29"/>
      <c r="O437" s="29"/>
      <c r="P437" s="29"/>
      <c r="Q437" s="29"/>
      <c r="R437" s="29"/>
      <c r="S437" s="29"/>
      <c r="T437" s="29"/>
      <c r="U437" s="29"/>
      <c r="V437" s="29"/>
      <c r="W437" s="29"/>
      <c r="X437" s="29"/>
      <c r="Y437" s="29"/>
      <c r="Z437" s="29"/>
    </row>
    <row r="438" ht="18.75" customHeight="1">
      <c r="A438" s="37"/>
      <c r="B438" s="38"/>
      <c r="C438" s="29"/>
      <c r="D438" s="39"/>
      <c r="E438" s="29"/>
      <c r="F438" s="40"/>
      <c r="G438" s="40"/>
      <c r="H438" s="40"/>
      <c r="I438" s="29"/>
      <c r="J438" s="29"/>
      <c r="K438" s="29"/>
      <c r="L438" s="29"/>
      <c r="M438" s="29"/>
      <c r="N438" s="29"/>
      <c r="O438" s="29"/>
      <c r="P438" s="29"/>
      <c r="Q438" s="29"/>
      <c r="R438" s="29"/>
      <c r="S438" s="29"/>
      <c r="T438" s="29"/>
      <c r="U438" s="29"/>
      <c r="V438" s="29"/>
      <c r="W438" s="29"/>
      <c r="X438" s="29"/>
      <c r="Y438" s="29"/>
      <c r="Z438" s="29"/>
    </row>
    <row r="439" ht="18.75" customHeight="1">
      <c r="A439" s="37"/>
      <c r="B439" s="38"/>
      <c r="C439" s="29"/>
      <c r="D439" s="39"/>
      <c r="E439" s="29"/>
      <c r="F439" s="40"/>
      <c r="G439" s="40"/>
      <c r="H439" s="40"/>
      <c r="I439" s="29"/>
      <c r="J439" s="29"/>
      <c r="K439" s="29"/>
      <c r="L439" s="29"/>
      <c r="M439" s="29"/>
      <c r="N439" s="29"/>
      <c r="O439" s="29"/>
      <c r="P439" s="29"/>
      <c r="Q439" s="29"/>
      <c r="R439" s="29"/>
      <c r="S439" s="29"/>
      <c r="T439" s="29"/>
      <c r="U439" s="29"/>
      <c r="V439" s="29"/>
      <c r="W439" s="29"/>
      <c r="X439" s="29"/>
      <c r="Y439" s="29"/>
      <c r="Z439" s="29"/>
    </row>
    <row r="440" ht="18.75" customHeight="1">
      <c r="A440" s="37"/>
      <c r="B440" s="38"/>
      <c r="C440" s="29"/>
      <c r="D440" s="39"/>
      <c r="E440" s="29"/>
      <c r="F440" s="40"/>
      <c r="G440" s="40"/>
      <c r="H440" s="40"/>
      <c r="I440" s="29"/>
      <c r="J440" s="29"/>
      <c r="K440" s="29"/>
      <c r="L440" s="29"/>
      <c r="M440" s="29"/>
      <c r="N440" s="29"/>
      <c r="O440" s="29"/>
      <c r="P440" s="29"/>
      <c r="Q440" s="29"/>
      <c r="R440" s="29"/>
      <c r="S440" s="29"/>
      <c r="T440" s="29"/>
      <c r="U440" s="29"/>
      <c r="V440" s="29"/>
      <c r="W440" s="29"/>
      <c r="X440" s="29"/>
      <c r="Y440" s="29"/>
      <c r="Z440" s="29"/>
    </row>
    <row r="441" ht="18.75" customHeight="1">
      <c r="A441" s="37"/>
      <c r="B441" s="38"/>
      <c r="C441" s="29"/>
      <c r="D441" s="39"/>
      <c r="E441" s="29"/>
      <c r="F441" s="40"/>
      <c r="G441" s="40"/>
      <c r="H441" s="40"/>
      <c r="I441" s="29"/>
      <c r="J441" s="29"/>
      <c r="K441" s="29"/>
      <c r="L441" s="29"/>
      <c r="M441" s="29"/>
      <c r="N441" s="29"/>
      <c r="O441" s="29"/>
      <c r="P441" s="29"/>
      <c r="Q441" s="29"/>
      <c r="R441" s="29"/>
      <c r="S441" s="29"/>
      <c r="T441" s="29"/>
      <c r="U441" s="29"/>
      <c r="V441" s="29"/>
      <c r="W441" s="29"/>
      <c r="X441" s="29"/>
      <c r="Y441" s="29"/>
      <c r="Z441" s="29"/>
    </row>
    <row r="442" ht="18.75" customHeight="1">
      <c r="A442" s="37"/>
      <c r="B442" s="38"/>
      <c r="C442" s="29"/>
      <c r="D442" s="39"/>
      <c r="E442" s="29"/>
      <c r="F442" s="40"/>
      <c r="G442" s="40"/>
      <c r="H442" s="40"/>
      <c r="I442" s="29"/>
      <c r="J442" s="29"/>
      <c r="K442" s="29"/>
      <c r="L442" s="29"/>
      <c r="M442" s="29"/>
      <c r="N442" s="29"/>
      <c r="O442" s="29"/>
      <c r="P442" s="29"/>
      <c r="Q442" s="29"/>
      <c r="R442" s="29"/>
      <c r="S442" s="29"/>
      <c r="T442" s="29"/>
      <c r="U442" s="29"/>
      <c r="V442" s="29"/>
      <c r="W442" s="29"/>
      <c r="X442" s="29"/>
      <c r="Y442" s="29"/>
      <c r="Z442" s="29"/>
    </row>
    <row r="443" ht="18.75" customHeight="1">
      <c r="A443" s="37"/>
      <c r="B443" s="38"/>
      <c r="C443" s="29"/>
      <c r="D443" s="39"/>
      <c r="E443" s="29"/>
      <c r="F443" s="40"/>
      <c r="G443" s="40"/>
      <c r="H443" s="40"/>
      <c r="I443" s="29"/>
      <c r="J443" s="29"/>
      <c r="K443" s="29"/>
      <c r="L443" s="29"/>
      <c r="M443" s="29"/>
      <c r="N443" s="29"/>
      <c r="O443" s="29"/>
      <c r="P443" s="29"/>
      <c r="Q443" s="29"/>
      <c r="R443" s="29"/>
      <c r="S443" s="29"/>
      <c r="T443" s="29"/>
      <c r="U443" s="29"/>
      <c r="V443" s="29"/>
      <c r="W443" s="29"/>
      <c r="X443" s="29"/>
      <c r="Y443" s="29"/>
      <c r="Z443" s="29"/>
    </row>
    <row r="444" ht="18.75" customHeight="1">
      <c r="A444" s="37"/>
      <c r="B444" s="38"/>
      <c r="C444" s="29"/>
      <c r="D444" s="39"/>
      <c r="E444" s="29"/>
      <c r="F444" s="40"/>
      <c r="G444" s="40"/>
      <c r="H444" s="40"/>
      <c r="I444" s="29"/>
      <c r="J444" s="29"/>
      <c r="K444" s="29"/>
      <c r="L444" s="29"/>
      <c r="M444" s="29"/>
      <c r="N444" s="29"/>
      <c r="O444" s="29"/>
      <c r="P444" s="29"/>
      <c r="Q444" s="29"/>
      <c r="R444" s="29"/>
      <c r="S444" s="29"/>
      <c r="T444" s="29"/>
      <c r="U444" s="29"/>
      <c r="V444" s="29"/>
      <c r="W444" s="29"/>
      <c r="X444" s="29"/>
      <c r="Y444" s="29"/>
      <c r="Z444" s="29"/>
    </row>
    <row r="445" ht="18.75" customHeight="1">
      <c r="A445" s="37"/>
      <c r="B445" s="38"/>
      <c r="C445" s="29"/>
      <c r="D445" s="39"/>
      <c r="E445" s="29"/>
      <c r="F445" s="40"/>
      <c r="G445" s="40"/>
      <c r="H445" s="40"/>
      <c r="I445" s="29"/>
      <c r="J445" s="29"/>
      <c r="K445" s="29"/>
      <c r="L445" s="29"/>
      <c r="M445" s="29"/>
      <c r="N445" s="29"/>
      <c r="O445" s="29"/>
      <c r="P445" s="29"/>
      <c r="Q445" s="29"/>
      <c r="R445" s="29"/>
      <c r="S445" s="29"/>
      <c r="T445" s="29"/>
      <c r="U445" s="29"/>
      <c r="V445" s="29"/>
      <c r="W445" s="29"/>
      <c r="X445" s="29"/>
      <c r="Y445" s="29"/>
      <c r="Z445" s="29"/>
    </row>
    <row r="446" ht="18.75" customHeight="1">
      <c r="A446" s="37"/>
      <c r="B446" s="38"/>
      <c r="C446" s="29"/>
      <c r="D446" s="39"/>
      <c r="E446" s="29"/>
      <c r="F446" s="40"/>
      <c r="G446" s="40"/>
      <c r="H446" s="40"/>
      <c r="I446" s="29"/>
      <c r="J446" s="29"/>
      <c r="K446" s="29"/>
      <c r="L446" s="29"/>
      <c r="M446" s="29"/>
      <c r="N446" s="29"/>
      <c r="O446" s="29"/>
      <c r="P446" s="29"/>
      <c r="Q446" s="29"/>
      <c r="R446" s="29"/>
      <c r="S446" s="29"/>
      <c r="T446" s="29"/>
      <c r="U446" s="29"/>
      <c r="V446" s="29"/>
      <c r="W446" s="29"/>
      <c r="X446" s="29"/>
      <c r="Y446" s="29"/>
      <c r="Z446" s="29"/>
    </row>
    <row r="447" ht="18.75" customHeight="1">
      <c r="A447" s="37"/>
      <c r="B447" s="38"/>
      <c r="C447" s="29"/>
      <c r="D447" s="39"/>
      <c r="E447" s="29"/>
      <c r="F447" s="40"/>
      <c r="G447" s="40"/>
      <c r="H447" s="40"/>
      <c r="I447" s="29"/>
      <c r="J447" s="29"/>
      <c r="K447" s="29"/>
      <c r="L447" s="29"/>
      <c r="M447" s="29"/>
      <c r="N447" s="29"/>
      <c r="O447" s="29"/>
      <c r="P447" s="29"/>
      <c r="Q447" s="29"/>
      <c r="R447" s="29"/>
      <c r="S447" s="29"/>
      <c r="T447" s="29"/>
      <c r="U447" s="29"/>
      <c r="V447" s="29"/>
      <c r="W447" s="29"/>
      <c r="X447" s="29"/>
      <c r="Y447" s="29"/>
      <c r="Z447" s="29"/>
    </row>
    <row r="448" ht="18.75" customHeight="1">
      <c r="A448" s="37"/>
      <c r="B448" s="38"/>
      <c r="C448" s="29"/>
      <c r="D448" s="39"/>
      <c r="E448" s="29"/>
      <c r="F448" s="40"/>
      <c r="G448" s="40"/>
      <c r="H448" s="40"/>
      <c r="I448" s="29"/>
      <c r="J448" s="29"/>
      <c r="K448" s="29"/>
      <c r="L448" s="29"/>
      <c r="M448" s="29"/>
      <c r="N448" s="29"/>
      <c r="O448" s="29"/>
      <c r="P448" s="29"/>
      <c r="Q448" s="29"/>
      <c r="R448" s="29"/>
      <c r="S448" s="29"/>
      <c r="T448" s="29"/>
      <c r="U448" s="29"/>
      <c r="V448" s="29"/>
      <c r="W448" s="29"/>
      <c r="X448" s="29"/>
      <c r="Y448" s="29"/>
      <c r="Z448" s="29"/>
    </row>
    <row r="449" ht="18.75" customHeight="1">
      <c r="A449" s="37"/>
      <c r="B449" s="38"/>
      <c r="C449" s="29"/>
      <c r="D449" s="39"/>
      <c r="E449" s="29"/>
      <c r="F449" s="40"/>
      <c r="G449" s="40"/>
      <c r="H449" s="40"/>
      <c r="I449" s="29"/>
      <c r="J449" s="29"/>
      <c r="K449" s="29"/>
      <c r="L449" s="29"/>
      <c r="M449" s="29"/>
      <c r="N449" s="29"/>
      <c r="O449" s="29"/>
      <c r="P449" s="29"/>
      <c r="Q449" s="29"/>
      <c r="R449" s="29"/>
      <c r="S449" s="29"/>
      <c r="T449" s="29"/>
      <c r="U449" s="29"/>
      <c r="V449" s="29"/>
      <c r="W449" s="29"/>
      <c r="X449" s="29"/>
      <c r="Y449" s="29"/>
      <c r="Z449" s="29"/>
    </row>
    <row r="450" ht="18.75" customHeight="1">
      <c r="A450" s="37"/>
      <c r="B450" s="38"/>
      <c r="C450" s="29"/>
      <c r="D450" s="39"/>
      <c r="E450" s="29"/>
      <c r="F450" s="40"/>
      <c r="G450" s="40"/>
      <c r="H450" s="40"/>
      <c r="I450" s="29"/>
      <c r="J450" s="29"/>
      <c r="K450" s="29"/>
      <c r="L450" s="29"/>
      <c r="M450" s="29"/>
      <c r="N450" s="29"/>
      <c r="O450" s="29"/>
      <c r="P450" s="29"/>
      <c r="Q450" s="29"/>
      <c r="R450" s="29"/>
      <c r="S450" s="29"/>
      <c r="T450" s="29"/>
      <c r="U450" s="29"/>
      <c r="V450" s="29"/>
      <c r="W450" s="29"/>
      <c r="X450" s="29"/>
      <c r="Y450" s="29"/>
      <c r="Z450" s="29"/>
    </row>
    <row r="451" ht="18.75" customHeight="1">
      <c r="A451" s="37"/>
      <c r="B451" s="38"/>
      <c r="C451" s="29"/>
      <c r="D451" s="39"/>
      <c r="E451" s="29"/>
      <c r="F451" s="40"/>
      <c r="G451" s="40"/>
      <c r="H451" s="40"/>
      <c r="I451" s="29"/>
      <c r="J451" s="29"/>
      <c r="K451" s="29"/>
      <c r="L451" s="29"/>
      <c r="M451" s="29"/>
      <c r="N451" s="29"/>
      <c r="O451" s="29"/>
      <c r="P451" s="29"/>
      <c r="Q451" s="29"/>
      <c r="R451" s="29"/>
      <c r="S451" s="29"/>
      <c r="T451" s="29"/>
      <c r="U451" s="29"/>
      <c r="V451" s="29"/>
      <c r="W451" s="29"/>
      <c r="X451" s="29"/>
      <c r="Y451" s="29"/>
      <c r="Z451" s="29"/>
    </row>
    <row r="452" ht="18.75" customHeight="1">
      <c r="A452" s="37"/>
      <c r="B452" s="38"/>
      <c r="C452" s="29"/>
      <c r="D452" s="39"/>
      <c r="E452" s="29"/>
      <c r="F452" s="40"/>
      <c r="G452" s="40"/>
      <c r="H452" s="40"/>
      <c r="I452" s="29"/>
      <c r="J452" s="29"/>
      <c r="K452" s="29"/>
      <c r="L452" s="29"/>
      <c r="M452" s="29"/>
      <c r="N452" s="29"/>
      <c r="O452" s="29"/>
      <c r="P452" s="29"/>
      <c r="Q452" s="29"/>
      <c r="R452" s="29"/>
      <c r="S452" s="29"/>
      <c r="T452" s="29"/>
      <c r="U452" s="29"/>
      <c r="V452" s="29"/>
      <c r="W452" s="29"/>
      <c r="X452" s="29"/>
      <c r="Y452" s="29"/>
      <c r="Z452" s="29"/>
    </row>
    <row r="453" ht="18.75" customHeight="1">
      <c r="A453" s="37"/>
      <c r="B453" s="38"/>
      <c r="C453" s="29"/>
      <c r="D453" s="39"/>
      <c r="E453" s="29"/>
      <c r="F453" s="40"/>
      <c r="G453" s="40"/>
      <c r="H453" s="40"/>
      <c r="I453" s="29"/>
      <c r="J453" s="29"/>
      <c r="K453" s="29"/>
      <c r="L453" s="29"/>
      <c r="M453" s="29"/>
      <c r="N453" s="29"/>
      <c r="O453" s="29"/>
      <c r="P453" s="29"/>
      <c r="Q453" s="29"/>
      <c r="R453" s="29"/>
      <c r="S453" s="29"/>
      <c r="T453" s="29"/>
      <c r="U453" s="29"/>
      <c r="V453" s="29"/>
      <c r="W453" s="29"/>
      <c r="X453" s="29"/>
      <c r="Y453" s="29"/>
      <c r="Z453" s="29"/>
    </row>
    <row r="454" ht="18.75" customHeight="1">
      <c r="A454" s="37"/>
      <c r="B454" s="38"/>
      <c r="C454" s="29"/>
      <c r="D454" s="39"/>
      <c r="E454" s="29"/>
      <c r="F454" s="40"/>
      <c r="G454" s="40"/>
      <c r="H454" s="40"/>
      <c r="I454" s="29"/>
      <c r="J454" s="29"/>
      <c r="K454" s="29"/>
      <c r="L454" s="29"/>
      <c r="M454" s="29"/>
      <c r="N454" s="29"/>
      <c r="O454" s="29"/>
      <c r="P454" s="29"/>
      <c r="Q454" s="29"/>
      <c r="R454" s="29"/>
      <c r="S454" s="29"/>
      <c r="T454" s="29"/>
      <c r="U454" s="29"/>
      <c r="V454" s="29"/>
      <c r="W454" s="29"/>
      <c r="X454" s="29"/>
      <c r="Y454" s="29"/>
      <c r="Z454" s="29"/>
    </row>
    <row r="455" ht="18.75" customHeight="1">
      <c r="A455" s="37"/>
      <c r="B455" s="38"/>
      <c r="C455" s="29"/>
      <c r="D455" s="39"/>
      <c r="E455" s="29"/>
      <c r="F455" s="40"/>
      <c r="G455" s="40"/>
      <c r="H455" s="40"/>
      <c r="I455" s="29"/>
      <c r="J455" s="29"/>
      <c r="K455" s="29"/>
      <c r="L455" s="29"/>
      <c r="M455" s="29"/>
      <c r="N455" s="29"/>
      <c r="O455" s="29"/>
      <c r="P455" s="29"/>
      <c r="Q455" s="29"/>
      <c r="R455" s="29"/>
      <c r="S455" s="29"/>
      <c r="T455" s="29"/>
      <c r="U455" s="29"/>
      <c r="V455" s="29"/>
      <c r="W455" s="29"/>
      <c r="X455" s="29"/>
      <c r="Y455" s="29"/>
      <c r="Z455" s="29"/>
    </row>
    <row r="456" ht="18.75" customHeight="1">
      <c r="A456" s="37"/>
      <c r="B456" s="38"/>
      <c r="C456" s="29"/>
      <c r="D456" s="39"/>
      <c r="E456" s="29"/>
      <c r="F456" s="40"/>
      <c r="G456" s="40"/>
      <c r="H456" s="40"/>
      <c r="I456" s="29"/>
      <c r="J456" s="29"/>
      <c r="K456" s="29"/>
      <c r="L456" s="29"/>
      <c r="M456" s="29"/>
      <c r="N456" s="29"/>
      <c r="O456" s="29"/>
      <c r="P456" s="29"/>
      <c r="Q456" s="29"/>
      <c r="R456" s="29"/>
      <c r="S456" s="29"/>
      <c r="T456" s="29"/>
      <c r="U456" s="29"/>
      <c r="V456" s="29"/>
      <c r="W456" s="29"/>
      <c r="X456" s="29"/>
      <c r="Y456" s="29"/>
      <c r="Z456" s="29"/>
    </row>
    <row r="457" ht="18.75" customHeight="1">
      <c r="A457" s="37"/>
      <c r="B457" s="38"/>
      <c r="C457" s="29"/>
      <c r="D457" s="39"/>
      <c r="E457" s="29"/>
      <c r="F457" s="40"/>
      <c r="G457" s="40"/>
      <c r="H457" s="40"/>
      <c r="I457" s="29"/>
      <c r="J457" s="29"/>
      <c r="K457" s="29"/>
      <c r="L457" s="29"/>
      <c r="M457" s="29"/>
      <c r="N457" s="29"/>
      <c r="O457" s="29"/>
      <c r="P457" s="29"/>
      <c r="Q457" s="29"/>
      <c r="R457" s="29"/>
      <c r="S457" s="29"/>
      <c r="T457" s="29"/>
      <c r="U457" s="29"/>
      <c r="V457" s="29"/>
      <c r="W457" s="29"/>
      <c r="X457" s="29"/>
      <c r="Y457" s="29"/>
      <c r="Z457" s="29"/>
    </row>
    <row r="458" ht="18.75" customHeight="1">
      <c r="A458" s="37"/>
      <c r="B458" s="38"/>
      <c r="C458" s="29"/>
      <c r="D458" s="39"/>
      <c r="E458" s="29"/>
      <c r="F458" s="40"/>
      <c r="G458" s="40"/>
      <c r="H458" s="40"/>
      <c r="I458" s="29"/>
      <c r="J458" s="29"/>
      <c r="K458" s="29"/>
      <c r="L458" s="29"/>
      <c r="M458" s="29"/>
      <c r="N458" s="29"/>
      <c r="O458" s="29"/>
      <c r="P458" s="29"/>
      <c r="Q458" s="29"/>
      <c r="R458" s="29"/>
      <c r="S458" s="29"/>
      <c r="T458" s="29"/>
      <c r="U458" s="29"/>
      <c r="V458" s="29"/>
      <c r="W458" s="29"/>
      <c r="X458" s="29"/>
      <c r="Y458" s="29"/>
      <c r="Z458" s="29"/>
    </row>
    <row r="459" ht="18.75" customHeight="1">
      <c r="A459" s="37"/>
      <c r="B459" s="38"/>
      <c r="C459" s="29"/>
      <c r="D459" s="39"/>
      <c r="E459" s="29"/>
      <c r="F459" s="40"/>
      <c r="G459" s="40"/>
      <c r="H459" s="40"/>
      <c r="I459" s="29"/>
      <c r="J459" s="29"/>
      <c r="K459" s="29"/>
      <c r="L459" s="29"/>
      <c r="M459" s="29"/>
      <c r="N459" s="29"/>
      <c r="O459" s="29"/>
      <c r="P459" s="29"/>
      <c r="Q459" s="29"/>
      <c r="R459" s="29"/>
      <c r="S459" s="29"/>
      <c r="T459" s="29"/>
      <c r="U459" s="29"/>
      <c r="V459" s="29"/>
      <c r="W459" s="29"/>
      <c r="X459" s="29"/>
      <c r="Y459" s="29"/>
      <c r="Z459" s="29"/>
    </row>
    <row r="460" ht="18.75" customHeight="1">
      <c r="A460" s="37"/>
      <c r="B460" s="38"/>
      <c r="C460" s="29"/>
      <c r="D460" s="39"/>
      <c r="E460" s="29"/>
      <c r="F460" s="40"/>
      <c r="G460" s="40"/>
      <c r="H460" s="40"/>
      <c r="I460" s="29"/>
      <c r="J460" s="29"/>
      <c r="K460" s="29"/>
      <c r="L460" s="29"/>
      <c r="M460" s="29"/>
      <c r="N460" s="29"/>
      <c r="O460" s="29"/>
      <c r="P460" s="29"/>
      <c r="Q460" s="29"/>
      <c r="R460" s="29"/>
      <c r="S460" s="29"/>
      <c r="T460" s="29"/>
      <c r="U460" s="29"/>
      <c r="V460" s="29"/>
      <c r="W460" s="29"/>
      <c r="X460" s="29"/>
      <c r="Y460" s="29"/>
      <c r="Z460" s="29"/>
    </row>
    <row r="461" ht="18.75" customHeight="1">
      <c r="A461" s="37"/>
      <c r="B461" s="38"/>
      <c r="C461" s="29"/>
      <c r="D461" s="39"/>
      <c r="E461" s="29"/>
      <c r="F461" s="40"/>
      <c r="G461" s="40"/>
      <c r="H461" s="40"/>
      <c r="I461" s="29"/>
      <c r="J461" s="29"/>
      <c r="K461" s="29"/>
      <c r="L461" s="29"/>
      <c r="M461" s="29"/>
      <c r="N461" s="29"/>
      <c r="O461" s="29"/>
      <c r="P461" s="29"/>
      <c r="Q461" s="29"/>
      <c r="R461" s="29"/>
      <c r="S461" s="29"/>
      <c r="T461" s="29"/>
      <c r="U461" s="29"/>
      <c r="V461" s="29"/>
      <c r="W461" s="29"/>
      <c r="X461" s="29"/>
      <c r="Y461" s="29"/>
      <c r="Z461" s="29"/>
    </row>
    <row r="462" ht="18.75" customHeight="1">
      <c r="A462" s="37"/>
      <c r="B462" s="38"/>
      <c r="C462" s="29"/>
      <c r="D462" s="39"/>
      <c r="E462" s="29"/>
      <c r="F462" s="40"/>
      <c r="G462" s="40"/>
      <c r="H462" s="40"/>
      <c r="I462" s="29"/>
      <c r="J462" s="29"/>
      <c r="K462" s="29"/>
      <c r="L462" s="29"/>
      <c r="M462" s="29"/>
      <c r="N462" s="29"/>
      <c r="O462" s="29"/>
      <c r="P462" s="29"/>
      <c r="Q462" s="29"/>
      <c r="R462" s="29"/>
      <c r="S462" s="29"/>
      <c r="T462" s="29"/>
      <c r="U462" s="29"/>
      <c r="V462" s="29"/>
      <c r="W462" s="29"/>
      <c r="X462" s="29"/>
      <c r="Y462" s="29"/>
      <c r="Z462" s="29"/>
    </row>
    <row r="463" ht="18.75" customHeight="1">
      <c r="A463" s="37"/>
      <c r="B463" s="38"/>
      <c r="C463" s="29"/>
      <c r="D463" s="39"/>
      <c r="E463" s="29"/>
      <c r="F463" s="40"/>
      <c r="G463" s="40"/>
      <c r="H463" s="40"/>
      <c r="I463" s="29"/>
      <c r="J463" s="29"/>
      <c r="K463" s="29"/>
      <c r="L463" s="29"/>
      <c r="M463" s="29"/>
      <c r="N463" s="29"/>
      <c r="O463" s="29"/>
      <c r="P463" s="29"/>
      <c r="Q463" s="29"/>
      <c r="R463" s="29"/>
      <c r="S463" s="29"/>
      <c r="T463" s="29"/>
      <c r="U463" s="29"/>
      <c r="V463" s="29"/>
      <c r="W463" s="29"/>
      <c r="X463" s="29"/>
      <c r="Y463" s="29"/>
      <c r="Z463" s="29"/>
    </row>
    <row r="464" ht="18.75" customHeight="1">
      <c r="A464" s="37"/>
      <c r="B464" s="38"/>
      <c r="C464" s="29"/>
      <c r="D464" s="39"/>
      <c r="E464" s="29"/>
      <c r="F464" s="40"/>
      <c r="G464" s="40"/>
      <c r="H464" s="40"/>
      <c r="I464" s="29"/>
      <c r="J464" s="29"/>
      <c r="K464" s="29"/>
      <c r="L464" s="29"/>
      <c r="M464" s="29"/>
      <c r="N464" s="29"/>
      <c r="O464" s="29"/>
      <c r="P464" s="29"/>
      <c r="Q464" s="29"/>
      <c r="R464" s="29"/>
      <c r="S464" s="29"/>
      <c r="T464" s="29"/>
      <c r="U464" s="29"/>
      <c r="V464" s="29"/>
      <c r="W464" s="29"/>
      <c r="X464" s="29"/>
      <c r="Y464" s="29"/>
      <c r="Z464" s="29"/>
    </row>
    <row r="465" ht="18.75" customHeight="1">
      <c r="A465" s="37"/>
      <c r="B465" s="38"/>
      <c r="C465" s="29"/>
      <c r="D465" s="39"/>
      <c r="E465" s="29"/>
      <c r="F465" s="40"/>
      <c r="G465" s="40"/>
      <c r="H465" s="40"/>
      <c r="I465" s="29"/>
      <c r="J465" s="29"/>
      <c r="K465" s="29"/>
      <c r="L465" s="29"/>
      <c r="M465" s="29"/>
      <c r="N465" s="29"/>
      <c r="O465" s="29"/>
      <c r="P465" s="29"/>
      <c r="Q465" s="29"/>
      <c r="R465" s="29"/>
      <c r="S465" s="29"/>
      <c r="T465" s="29"/>
      <c r="U465" s="29"/>
      <c r="V465" s="29"/>
      <c r="W465" s="29"/>
      <c r="X465" s="29"/>
      <c r="Y465" s="29"/>
      <c r="Z465" s="29"/>
    </row>
    <row r="466" ht="18.75" customHeight="1">
      <c r="A466" s="37"/>
      <c r="B466" s="38"/>
      <c r="C466" s="29"/>
      <c r="D466" s="39"/>
      <c r="E466" s="29"/>
      <c r="F466" s="40"/>
      <c r="G466" s="40"/>
      <c r="H466" s="40"/>
      <c r="I466" s="29"/>
      <c r="J466" s="29"/>
      <c r="K466" s="29"/>
      <c r="L466" s="29"/>
      <c r="M466" s="29"/>
      <c r="N466" s="29"/>
      <c r="O466" s="29"/>
      <c r="P466" s="29"/>
      <c r="Q466" s="29"/>
      <c r="R466" s="29"/>
      <c r="S466" s="29"/>
      <c r="T466" s="29"/>
      <c r="U466" s="29"/>
      <c r="V466" s="29"/>
      <c r="W466" s="29"/>
      <c r="X466" s="29"/>
      <c r="Y466" s="29"/>
      <c r="Z466" s="29"/>
    </row>
    <row r="467" ht="18.75" customHeight="1">
      <c r="A467" s="37"/>
      <c r="B467" s="38"/>
      <c r="C467" s="29"/>
      <c r="D467" s="39"/>
      <c r="E467" s="29"/>
      <c r="F467" s="40"/>
      <c r="G467" s="40"/>
      <c r="H467" s="40"/>
      <c r="I467" s="29"/>
      <c r="J467" s="29"/>
      <c r="K467" s="29"/>
      <c r="L467" s="29"/>
      <c r="M467" s="29"/>
      <c r="N467" s="29"/>
      <c r="O467" s="29"/>
      <c r="P467" s="29"/>
      <c r="Q467" s="29"/>
      <c r="R467" s="29"/>
      <c r="S467" s="29"/>
      <c r="T467" s="29"/>
      <c r="U467" s="29"/>
      <c r="V467" s="29"/>
      <c r="W467" s="29"/>
      <c r="X467" s="29"/>
      <c r="Y467" s="29"/>
      <c r="Z467" s="29"/>
    </row>
    <row r="468" ht="18.75" customHeight="1">
      <c r="A468" s="37"/>
      <c r="B468" s="38"/>
      <c r="C468" s="29"/>
      <c r="D468" s="39"/>
      <c r="E468" s="29"/>
      <c r="F468" s="40"/>
      <c r="G468" s="40"/>
      <c r="H468" s="40"/>
      <c r="I468" s="29"/>
      <c r="J468" s="29"/>
      <c r="K468" s="29"/>
      <c r="L468" s="29"/>
      <c r="M468" s="29"/>
      <c r="N468" s="29"/>
      <c r="O468" s="29"/>
      <c r="P468" s="29"/>
      <c r="Q468" s="29"/>
      <c r="R468" s="29"/>
      <c r="S468" s="29"/>
      <c r="T468" s="29"/>
      <c r="U468" s="29"/>
      <c r="V468" s="29"/>
      <c r="W468" s="29"/>
      <c r="X468" s="29"/>
      <c r="Y468" s="29"/>
      <c r="Z468" s="29"/>
    </row>
    <row r="469" ht="18.75" customHeight="1">
      <c r="A469" s="37"/>
      <c r="B469" s="38"/>
      <c r="C469" s="29"/>
      <c r="D469" s="39"/>
      <c r="E469" s="29"/>
      <c r="F469" s="40"/>
      <c r="G469" s="40"/>
      <c r="H469" s="40"/>
      <c r="I469" s="29"/>
      <c r="J469" s="29"/>
      <c r="K469" s="29"/>
      <c r="L469" s="29"/>
      <c r="M469" s="29"/>
      <c r="N469" s="29"/>
      <c r="O469" s="29"/>
      <c r="P469" s="29"/>
      <c r="Q469" s="29"/>
      <c r="R469" s="29"/>
      <c r="S469" s="29"/>
      <c r="T469" s="29"/>
      <c r="U469" s="29"/>
      <c r="V469" s="29"/>
      <c r="W469" s="29"/>
      <c r="X469" s="29"/>
      <c r="Y469" s="29"/>
      <c r="Z469" s="29"/>
    </row>
    <row r="470" ht="18.75" customHeight="1">
      <c r="A470" s="37"/>
      <c r="B470" s="38"/>
      <c r="C470" s="29"/>
      <c r="D470" s="39"/>
      <c r="E470" s="29"/>
      <c r="F470" s="40"/>
      <c r="G470" s="40"/>
      <c r="H470" s="40"/>
      <c r="I470" s="29"/>
      <c r="J470" s="29"/>
      <c r="K470" s="29"/>
      <c r="L470" s="29"/>
      <c r="M470" s="29"/>
      <c r="N470" s="29"/>
      <c r="O470" s="29"/>
      <c r="P470" s="29"/>
      <c r="Q470" s="29"/>
      <c r="R470" s="29"/>
      <c r="S470" s="29"/>
      <c r="T470" s="29"/>
      <c r="U470" s="29"/>
      <c r="V470" s="29"/>
      <c r="W470" s="29"/>
      <c r="X470" s="29"/>
      <c r="Y470" s="29"/>
      <c r="Z470" s="29"/>
    </row>
    <row r="471" ht="18.75" customHeight="1">
      <c r="A471" s="37"/>
      <c r="B471" s="38"/>
      <c r="C471" s="29"/>
      <c r="D471" s="39"/>
      <c r="E471" s="29"/>
      <c r="F471" s="40"/>
      <c r="G471" s="40"/>
      <c r="H471" s="40"/>
      <c r="I471" s="29"/>
      <c r="J471" s="29"/>
      <c r="K471" s="29"/>
      <c r="L471" s="29"/>
      <c r="M471" s="29"/>
      <c r="N471" s="29"/>
      <c r="O471" s="29"/>
      <c r="P471" s="29"/>
      <c r="Q471" s="29"/>
      <c r="R471" s="29"/>
      <c r="S471" s="29"/>
      <c r="T471" s="29"/>
      <c r="U471" s="29"/>
      <c r="V471" s="29"/>
      <c r="W471" s="29"/>
      <c r="X471" s="29"/>
      <c r="Y471" s="29"/>
      <c r="Z471" s="29"/>
    </row>
    <row r="472" ht="18.75" customHeight="1">
      <c r="A472" s="37"/>
      <c r="B472" s="38"/>
      <c r="C472" s="29"/>
      <c r="D472" s="39"/>
      <c r="E472" s="29"/>
      <c r="F472" s="40"/>
      <c r="G472" s="40"/>
      <c r="H472" s="40"/>
      <c r="I472" s="29"/>
      <c r="J472" s="29"/>
      <c r="K472" s="29"/>
      <c r="L472" s="29"/>
      <c r="M472" s="29"/>
      <c r="N472" s="29"/>
      <c r="O472" s="29"/>
      <c r="P472" s="29"/>
      <c r="Q472" s="29"/>
      <c r="R472" s="29"/>
      <c r="S472" s="29"/>
      <c r="T472" s="29"/>
      <c r="U472" s="29"/>
      <c r="V472" s="29"/>
      <c r="W472" s="29"/>
      <c r="X472" s="29"/>
      <c r="Y472" s="29"/>
      <c r="Z472" s="29"/>
    </row>
    <row r="473" ht="18.75" customHeight="1">
      <c r="A473" s="37"/>
      <c r="B473" s="38"/>
      <c r="C473" s="29"/>
      <c r="D473" s="39"/>
      <c r="E473" s="29"/>
      <c r="F473" s="40"/>
      <c r="G473" s="40"/>
      <c r="H473" s="40"/>
      <c r="I473" s="29"/>
      <c r="J473" s="29"/>
      <c r="K473" s="29"/>
      <c r="L473" s="29"/>
      <c r="M473" s="29"/>
      <c r="N473" s="29"/>
      <c r="O473" s="29"/>
      <c r="P473" s="29"/>
      <c r="Q473" s="29"/>
      <c r="R473" s="29"/>
      <c r="S473" s="29"/>
      <c r="T473" s="29"/>
      <c r="U473" s="29"/>
      <c r="V473" s="29"/>
      <c r="W473" s="29"/>
      <c r="X473" s="29"/>
      <c r="Y473" s="29"/>
      <c r="Z473" s="29"/>
    </row>
    <row r="474" ht="18.75" customHeight="1">
      <c r="A474" s="37"/>
      <c r="B474" s="38"/>
      <c r="C474" s="29"/>
      <c r="D474" s="39"/>
      <c r="E474" s="29"/>
      <c r="F474" s="40"/>
      <c r="G474" s="40"/>
      <c r="H474" s="40"/>
      <c r="I474" s="29"/>
      <c r="J474" s="29"/>
      <c r="K474" s="29"/>
      <c r="L474" s="29"/>
      <c r="M474" s="29"/>
      <c r="N474" s="29"/>
      <c r="O474" s="29"/>
      <c r="P474" s="29"/>
      <c r="Q474" s="29"/>
      <c r="R474" s="29"/>
      <c r="S474" s="29"/>
      <c r="T474" s="29"/>
      <c r="U474" s="29"/>
      <c r="V474" s="29"/>
      <c r="W474" s="29"/>
      <c r="X474" s="29"/>
      <c r="Y474" s="29"/>
      <c r="Z474" s="29"/>
    </row>
    <row r="475" ht="18.75" customHeight="1">
      <c r="A475" s="37"/>
      <c r="B475" s="38"/>
      <c r="C475" s="29"/>
      <c r="D475" s="39"/>
      <c r="E475" s="29"/>
      <c r="F475" s="40"/>
      <c r="G475" s="40"/>
      <c r="H475" s="40"/>
      <c r="I475" s="29"/>
      <c r="J475" s="29"/>
      <c r="K475" s="29"/>
      <c r="L475" s="29"/>
      <c r="M475" s="29"/>
      <c r="N475" s="29"/>
      <c r="O475" s="29"/>
      <c r="P475" s="29"/>
      <c r="Q475" s="29"/>
      <c r="R475" s="29"/>
      <c r="S475" s="29"/>
      <c r="T475" s="29"/>
      <c r="U475" s="29"/>
      <c r="V475" s="29"/>
      <c r="W475" s="29"/>
      <c r="X475" s="29"/>
      <c r="Y475" s="29"/>
      <c r="Z475" s="29"/>
    </row>
    <row r="476" ht="18.75" customHeight="1">
      <c r="A476" s="37"/>
      <c r="B476" s="38"/>
      <c r="C476" s="29"/>
      <c r="D476" s="39"/>
      <c r="E476" s="29"/>
      <c r="F476" s="40"/>
      <c r="G476" s="40"/>
      <c r="H476" s="40"/>
      <c r="I476" s="29"/>
      <c r="J476" s="29"/>
      <c r="K476" s="29"/>
      <c r="L476" s="29"/>
      <c r="M476" s="29"/>
      <c r="N476" s="29"/>
      <c r="O476" s="29"/>
      <c r="P476" s="29"/>
      <c r="Q476" s="29"/>
      <c r="R476" s="29"/>
      <c r="S476" s="29"/>
      <c r="T476" s="29"/>
      <c r="U476" s="29"/>
      <c r="V476" s="29"/>
      <c r="W476" s="29"/>
      <c r="X476" s="29"/>
      <c r="Y476" s="29"/>
      <c r="Z476" s="29"/>
    </row>
    <row r="477" ht="18.75" customHeight="1">
      <c r="A477" s="37"/>
      <c r="B477" s="38"/>
      <c r="C477" s="29"/>
      <c r="D477" s="39"/>
      <c r="E477" s="29"/>
      <c r="F477" s="40"/>
      <c r="G477" s="40"/>
      <c r="H477" s="40"/>
      <c r="I477" s="29"/>
      <c r="J477" s="29"/>
      <c r="K477" s="29"/>
      <c r="L477" s="29"/>
      <c r="M477" s="29"/>
      <c r="N477" s="29"/>
      <c r="O477" s="29"/>
      <c r="P477" s="29"/>
      <c r="Q477" s="29"/>
      <c r="R477" s="29"/>
      <c r="S477" s="29"/>
      <c r="T477" s="29"/>
      <c r="U477" s="29"/>
      <c r="V477" s="29"/>
      <c r="W477" s="29"/>
      <c r="X477" s="29"/>
      <c r="Y477" s="29"/>
      <c r="Z477" s="29"/>
    </row>
    <row r="478" ht="18.75" customHeight="1">
      <c r="A478" s="37"/>
      <c r="B478" s="38"/>
      <c r="C478" s="29"/>
      <c r="D478" s="39"/>
      <c r="E478" s="29"/>
      <c r="F478" s="40"/>
      <c r="G478" s="40"/>
      <c r="H478" s="40"/>
      <c r="I478" s="29"/>
      <c r="J478" s="29"/>
      <c r="K478" s="29"/>
      <c r="L478" s="29"/>
      <c r="M478" s="29"/>
      <c r="N478" s="29"/>
      <c r="O478" s="29"/>
      <c r="P478" s="29"/>
      <c r="Q478" s="29"/>
      <c r="R478" s="29"/>
      <c r="S478" s="29"/>
      <c r="T478" s="29"/>
      <c r="U478" s="29"/>
      <c r="V478" s="29"/>
      <c r="W478" s="29"/>
      <c r="X478" s="29"/>
      <c r="Y478" s="29"/>
      <c r="Z478" s="29"/>
    </row>
    <row r="479" ht="18.75" customHeight="1">
      <c r="A479" s="37"/>
      <c r="B479" s="38"/>
      <c r="C479" s="29"/>
      <c r="D479" s="39"/>
      <c r="E479" s="29"/>
      <c r="F479" s="40"/>
      <c r="G479" s="40"/>
      <c r="H479" s="40"/>
      <c r="I479" s="29"/>
      <c r="J479" s="29"/>
      <c r="K479" s="29"/>
      <c r="L479" s="29"/>
      <c r="M479" s="29"/>
      <c r="N479" s="29"/>
      <c r="O479" s="29"/>
      <c r="P479" s="29"/>
      <c r="Q479" s="29"/>
      <c r="R479" s="29"/>
      <c r="S479" s="29"/>
      <c r="T479" s="29"/>
      <c r="U479" s="29"/>
      <c r="V479" s="29"/>
      <c r="W479" s="29"/>
      <c r="X479" s="29"/>
      <c r="Y479" s="29"/>
      <c r="Z479" s="29"/>
    </row>
    <row r="480" ht="18.75" customHeight="1">
      <c r="A480" s="37"/>
      <c r="B480" s="38"/>
      <c r="C480" s="29"/>
      <c r="D480" s="39"/>
      <c r="E480" s="29"/>
      <c r="F480" s="40"/>
      <c r="G480" s="40"/>
      <c r="H480" s="40"/>
      <c r="I480" s="29"/>
      <c r="J480" s="29"/>
      <c r="K480" s="29"/>
      <c r="L480" s="29"/>
      <c r="M480" s="29"/>
      <c r="N480" s="29"/>
      <c r="O480" s="29"/>
      <c r="P480" s="29"/>
      <c r="Q480" s="29"/>
      <c r="R480" s="29"/>
      <c r="S480" s="29"/>
      <c r="T480" s="29"/>
      <c r="U480" s="29"/>
      <c r="V480" s="29"/>
      <c r="W480" s="29"/>
      <c r="X480" s="29"/>
      <c r="Y480" s="29"/>
      <c r="Z480" s="29"/>
    </row>
    <row r="481" ht="18.75" customHeight="1">
      <c r="A481" s="37"/>
      <c r="B481" s="38"/>
      <c r="C481" s="29"/>
      <c r="D481" s="39"/>
      <c r="E481" s="29"/>
      <c r="F481" s="40"/>
      <c r="G481" s="40"/>
      <c r="H481" s="40"/>
      <c r="I481" s="29"/>
      <c r="J481" s="29"/>
      <c r="K481" s="29"/>
      <c r="L481" s="29"/>
      <c r="M481" s="29"/>
      <c r="N481" s="29"/>
      <c r="O481" s="29"/>
      <c r="P481" s="29"/>
      <c r="Q481" s="29"/>
      <c r="R481" s="29"/>
      <c r="S481" s="29"/>
      <c r="T481" s="29"/>
      <c r="U481" s="29"/>
      <c r="V481" s="29"/>
      <c r="W481" s="29"/>
      <c r="X481" s="29"/>
      <c r="Y481" s="29"/>
      <c r="Z481" s="29"/>
    </row>
    <row r="482" ht="18.75" customHeight="1">
      <c r="A482" s="37"/>
      <c r="B482" s="38"/>
      <c r="C482" s="29"/>
      <c r="D482" s="39"/>
      <c r="E482" s="29"/>
      <c r="F482" s="40"/>
      <c r="G482" s="40"/>
      <c r="H482" s="40"/>
      <c r="I482" s="29"/>
      <c r="J482" s="29"/>
      <c r="K482" s="29"/>
      <c r="L482" s="29"/>
      <c r="M482" s="29"/>
      <c r="N482" s="29"/>
      <c r="O482" s="29"/>
      <c r="P482" s="29"/>
      <c r="Q482" s="29"/>
      <c r="R482" s="29"/>
      <c r="S482" s="29"/>
      <c r="T482" s="29"/>
      <c r="U482" s="29"/>
      <c r="V482" s="29"/>
      <c r="W482" s="29"/>
      <c r="X482" s="29"/>
      <c r="Y482" s="29"/>
      <c r="Z482" s="29"/>
    </row>
    <row r="483" ht="18.75" customHeight="1">
      <c r="A483" s="37"/>
      <c r="B483" s="38"/>
      <c r="C483" s="29"/>
      <c r="D483" s="39"/>
      <c r="E483" s="29"/>
      <c r="F483" s="40"/>
      <c r="G483" s="40"/>
      <c r="H483" s="40"/>
      <c r="I483" s="29"/>
      <c r="J483" s="29"/>
      <c r="K483" s="29"/>
      <c r="L483" s="29"/>
      <c r="M483" s="29"/>
      <c r="N483" s="29"/>
      <c r="O483" s="29"/>
      <c r="P483" s="29"/>
      <c r="Q483" s="29"/>
      <c r="R483" s="29"/>
      <c r="S483" s="29"/>
      <c r="T483" s="29"/>
      <c r="U483" s="29"/>
      <c r="V483" s="29"/>
      <c r="W483" s="29"/>
      <c r="X483" s="29"/>
      <c r="Y483" s="29"/>
      <c r="Z483" s="29"/>
    </row>
    <row r="484" ht="18.75" customHeight="1">
      <c r="A484" s="37"/>
      <c r="B484" s="38"/>
      <c r="C484" s="29"/>
      <c r="D484" s="39"/>
      <c r="E484" s="29"/>
      <c r="F484" s="40"/>
      <c r="G484" s="40"/>
      <c r="H484" s="40"/>
      <c r="I484" s="29"/>
      <c r="J484" s="29"/>
      <c r="K484" s="29"/>
      <c r="L484" s="29"/>
      <c r="M484" s="29"/>
      <c r="N484" s="29"/>
      <c r="O484" s="29"/>
      <c r="P484" s="29"/>
      <c r="Q484" s="29"/>
      <c r="R484" s="29"/>
      <c r="S484" s="29"/>
      <c r="T484" s="29"/>
      <c r="U484" s="29"/>
      <c r="V484" s="29"/>
      <c r="W484" s="29"/>
      <c r="X484" s="29"/>
      <c r="Y484" s="29"/>
      <c r="Z484" s="29"/>
    </row>
    <row r="485" ht="18.75" customHeight="1">
      <c r="A485" s="37"/>
      <c r="B485" s="38"/>
      <c r="C485" s="29"/>
      <c r="D485" s="39"/>
      <c r="E485" s="29"/>
      <c r="F485" s="40"/>
      <c r="G485" s="40"/>
      <c r="H485" s="40"/>
      <c r="I485" s="29"/>
      <c r="J485" s="29"/>
      <c r="K485" s="29"/>
      <c r="L485" s="29"/>
      <c r="M485" s="29"/>
      <c r="N485" s="29"/>
      <c r="O485" s="29"/>
      <c r="P485" s="29"/>
      <c r="Q485" s="29"/>
      <c r="R485" s="29"/>
      <c r="S485" s="29"/>
      <c r="T485" s="29"/>
      <c r="U485" s="29"/>
      <c r="V485" s="29"/>
      <c r="W485" s="29"/>
      <c r="X485" s="29"/>
      <c r="Y485" s="29"/>
      <c r="Z485" s="29"/>
    </row>
    <row r="486" ht="18.75" customHeight="1">
      <c r="A486" s="37"/>
      <c r="B486" s="38"/>
      <c r="C486" s="29"/>
      <c r="D486" s="39"/>
      <c r="E486" s="29"/>
      <c r="F486" s="40"/>
      <c r="G486" s="40"/>
      <c r="H486" s="40"/>
      <c r="I486" s="29"/>
      <c r="J486" s="29"/>
      <c r="K486" s="29"/>
      <c r="L486" s="29"/>
      <c r="M486" s="29"/>
      <c r="N486" s="29"/>
      <c r="O486" s="29"/>
      <c r="P486" s="29"/>
      <c r="Q486" s="29"/>
      <c r="R486" s="29"/>
      <c r="S486" s="29"/>
      <c r="T486" s="29"/>
      <c r="U486" s="29"/>
      <c r="V486" s="29"/>
      <c r="W486" s="29"/>
      <c r="X486" s="29"/>
      <c r="Y486" s="29"/>
      <c r="Z486" s="29"/>
    </row>
    <row r="487" ht="18.75" customHeight="1">
      <c r="A487" s="37"/>
      <c r="B487" s="38"/>
      <c r="C487" s="29"/>
      <c r="D487" s="39"/>
      <c r="E487" s="29"/>
      <c r="F487" s="40"/>
      <c r="G487" s="40"/>
      <c r="H487" s="40"/>
      <c r="I487" s="29"/>
      <c r="J487" s="29"/>
      <c r="K487" s="29"/>
      <c r="L487" s="29"/>
      <c r="M487" s="29"/>
      <c r="N487" s="29"/>
      <c r="O487" s="29"/>
      <c r="P487" s="29"/>
      <c r="Q487" s="29"/>
      <c r="R487" s="29"/>
      <c r="S487" s="29"/>
      <c r="T487" s="29"/>
      <c r="U487" s="29"/>
      <c r="V487" s="29"/>
      <c r="W487" s="29"/>
      <c r="X487" s="29"/>
      <c r="Y487" s="29"/>
      <c r="Z487" s="29"/>
    </row>
    <row r="488" ht="18.75" customHeight="1">
      <c r="A488" s="37"/>
      <c r="B488" s="38"/>
      <c r="C488" s="29"/>
      <c r="D488" s="39"/>
      <c r="E488" s="29"/>
      <c r="F488" s="40"/>
      <c r="G488" s="40"/>
      <c r="H488" s="40"/>
      <c r="I488" s="29"/>
      <c r="J488" s="29"/>
      <c r="K488" s="29"/>
      <c r="L488" s="29"/>
      <c r="M488" s="29"/>
      <c r="N488" s="29"/>
      <c r="O488" s="29"/>
      <c r="P488" s="29"/>
      <c r="Q488" s="29"/>
      <c r="R488" s="29"/>
      <c r="S488" s="29"/>
      <c r="T488" s="29"/>
      <c r="U488" s="29"/>
      <c r="V488" s="29"/>
      <c r="W488" s="29"/>
      <c r="X488" s="29"/>
      <c r="Y488" s="29"/>
      <c r="Z488" s="29"/>
    </row>
    <row r="489" ht="18.75" customHeight="1">
      <c r="A489" s="37"/>
      <c r="B489" s="38"/>
      <c r="C489" s="29"/>
      <c r="D489" s="39"/>
      <c r="E489" s="29"/>
      <c r="F489" s="40"/>
      <c r="G489" s="40"/>
      <c r="H489" s="40"/>
      <c r="I489" s="29"/>
      <c r="J489" s="29"/>
      <c r="K489" s="29"/>
      <c r="L489" s="29"/>
      <c r="M489" s="29"/>
      <c r="N489" s="29"/>
      <c r="O489" s="29"/>
      <c r="P489" s="29"/>
      <c r="Q489" s="29"/>
      <c r="R489" s="29"/>
      <c r="S489" s="29"/>
      <c r="T489" s="29"/>
      <c r="U489" s="29"/>
      <c r="V489" s="29"/>
      <c r="W489" s="29"/>
      <c r="X489" s="29"/>
      <c r="Y489" s="29"/>
      <c r="Z489" s="29"/>
    </row>
    <row r="490" ht="18.75" customHeight="1">
      <c r="A490" s="37"/>
      <c r="B490" s="38"/>
      <c r="C490" s="29"/>
      <c r="D490" s="39"/>
      <c r="E490" s="29"/>
      <c r="F490" s="40"/>
      <c r="G490" s="40"/>
      <c r="H490" s="40"/>
      <c r="I490" s="29"/>
      <c r="J490" s="29"/>
      <c r="K490" s="29"/>
      <c r="L490" s="29"/>
      <c r="M490" s="29"/>
      <c r="N490" s="29"/>
      <c r="O490" s="29"/>
      <c r="P490" s="29"/>
      <c r="Q490" s="29"/>
      <c r="R490" s="29"/>
      <c r="S490" s="29"/>
      <c r="T490" s="29"/>
      <c r="U490" s="29"/>
      <c r="V490" s="29"/>
      <c r="W490" s="29"/>
      <c r="X490" s="29"/>
      <c r="Y490" s="29"/>
      <c r="Z490" s="29"/>
    </row>
    <row r="491" ht="18.75" customHeight="1">
      <c r="A491" s="37"/>
      <c r="B491" s="38"/>
      <c r="C491" s="29"/>
      <c r="D491" s="39"/>
      <c r="E491" s="29"/>
      <c r="F491" s="40"/>
      <c r="G491" s="40"/>
      <c r="H491" s="40"/>
      <c r="I491" s="29"/>
      <c r="J491" s="29"/>
      <c r="K491" s="29"/>
      <c r="L491" s="29"/>
      <c r="M491" s="29"/>
      <c r="N491" s="29"/>
      <c r="O491" s="29"/>
      <c r="P491" s="29"/>
      <c r="Q491" s="29"/>
      <c r="R491" s="29"/>
      <c r="S491" s="29"/>
      <c r="T491" s="29"/>
      <c r="U491" s="29"/>
      <c r="V491" s="29"/>
      <c r="W491" s="29"/>
      <c r="X491" s="29"/>
      <c r="Y491" s="29"/>
      <c r="Z491" s="29"/>
    </row>
    <row r="492" ht="18.75" customHeight="1">
      <c r="A492" s="37"/>
      <c r="B492" s="38"/>
      <c r="C492" s="29"/>
      <c r="D492" s="39"/>
      <c r="E492" s="29"/>
      <c r="F492" s="40"/>
      <c r="G492" s="40"/>
      <c r="H492" s="40"/>
      <c r="I492" s="29"/>
      <c r="J492" s="29"/>
      <c r="K492" s="29"/>
      <c r="L492" s="29"/>
      <c r="M492" s="29"/>
      <c r="N492" s="29"/>
      <c r="O492" s="29"/>
      <c r="P492" s="29"/>
      <c r="Q492" s="29"/>
      <c r="R492" s="29"/>
      <c r="S492" s="29"/>
      <c r="T492" s="29"/>
      <c r="U492" s="29"/>
      <c r="V492" s="29"/>
      <c r="W492" s="29"/>
      <c r="X492" s="29"/>
      <c r="Y492" s="29"/>
      <c r="Z492" s="29"/>
    </row>
    <row r="493" ht="18.75" customHeight="1">
      <c r="A493" s="37"/>
      <c r="B493" s="38"/>
      <c r="C493" s="29"/>
      <c r="D493" s="39"/>
      <c r="E493" s="29"/>
      <c r="F493" s="40"/>
      <c r="G493" s="40"/>
      <c r="H493" s="40"/>
      <c r="I493" s="29"/>
      <c r="J493" s="29"/>
      <c r="K493" s="29"/>
      <c r="L493" s="29"/>
      <c r="M493" s="29"/>
      <c r="N493" s="29"/>
      <c r="O493" s="29"/>
      <c r="P493" s="29"/>
      <c r="Q493" s="29"/>
      <c r="R493" s="29"/>
      <c r="S493" s="29"/>
      <c r="T493" s="29"/>
      <c r="U493" s="29"/>
      <c r="V493" s="29"/>
      <c r="W493" s="29"/>
      <c r="X493" s="29"/>
      <c r="Y493" s="29"/>
      <c r="Z493" s="29"/>
    </row>
    <row r="494" ht="18.75" customHeight="1">
      <c r="A494" s="37"/>
      <c r="B494" s="38"/>
      <c r="C494" s="29"/>
      <c r="D494" s="39"/>
      <c r="E494" s="29"/>
      <c r="F494" s="40"/>
      <c r="G494" s="40"/>
      <c r="H494" s="40"/>
      <c r="I494" s="29"/>
      <c r="J494" s="29"/>
      <c r="K494" s="29"/>
      <c r="L494" s="29"/>
      <c r="M494" s="29"/>
      <c r="N494" s="29"/>
      <c r="O494" s="29"/>
      <c r="P494" s="29"/>
      <c r="Q494" s="29"/>
      <c r="R494" s="29"/>
      <c r="S494" s="29"/>
      <c r="T494" s="29"/>
      <c r="U494" s="29"/>
      <c r="V494" s="29"/>
      <c r="W494" s="29"/>
      <c r="X494" s="29"/>
      <c r="Y494" s="29"/>
      <c r="Z494" s="29"/>
    </row>
    <row r="495" ht="18.75" customHeight="1">
      <c r="A495" s="37"/>
      <c r="B495" s="38"/>
      <c r="C495" s="29"/>
      <c r="D495" s="39"/>
      <c r="E495" s="29"/>
      <c r="F495" s="40"/>
      <c r="G495" s="40"/>
      <c r="H495" s="40"/>
      <c r="I495" s="29"/>
      <c r="J495" s="29"/>
      <c r="K495" s="29"/>
      <c r="L495" s="29"/>
      <c r="M495" s="29"/>
      <c r="N495" s="29"/>
      <c r="O495" s="29"/>
      <c r="P495" s="29"/>
      <c r="Q495" s="29"/>
      <c r="R495" s="29"/>
      <c r="S495" s="29"/>
      <c r="T495" s="29"/>
      <c r="U495" s="29"/>
      <c r="V495" s="29"/>
      <c r="W495" s="29"/>
      <c r="X495" s="29"/>
      <c r="Y495" s="29"/>
      <c r="Z495" s="29"/>
    </row>
    <row r="496" ht="18.75" customHeight="1">
      <c r="A496" s="37"/>
      <c r="B496" s="38"/>
      <c r="C496" s="29"/>
      <c r="D496" s="39"/>
      <c r="E496" s="29"/>
      <c r="F496" s="40"/>
      <c r="G496" s="40"/>
      <c r="H496" s="40"/>
      <c r="I496" s="29"/>
      <c r="J496" s="29"/>
      <c r="K496" s="29"/>
      <c r="L496" s="29"/>
      <c r="M496" s="29"/>
      <c r="N496" s="29"/>
      <c r="O496" s="29"/>
      <c r="P496" s="29"/>
      <c r="Q496" s="29"/>
      <c r="R496" s="29"/>
      <c r="S496" s="29"/>
      <c r="T496" s="29"/>
      <c r="U496" s="29"/>
      <c r="V496" s="29"/>
      <c r="W496" s="29"/>
      <c r="X496" s="29"/>
      <c r="Y496" s="29"/>
      <c r="Z496" s="29"/>
    </row>
    <row r="497" ht="18.75" customHeight="1">
      <c r="A497" s="37"/>
      <c r="B497" s="38"/>
      <c r="C497" s="29"/>
      <c r="D497" s="39"/>
      <c r="E497" s="29"/>
      <c r="F497" s="40"/>
      <c r="G497" s="40"/>
      <c r="H497" s="40"/>
      <c r="I497" s="29"/>
      <c r="J497" s="29"/>
      <c r="K497" s="29"/>
      <c r="L497" s="29"/>
      <c r="M497" s="29"/>
      <c r="N497" s="29"/>
      <c r="O497" s="29"/>
      <c r="P497" s="29"/>
      <c r="Q497" s="29"/>
      <c r="R497" s="29"/>
      <c r="S497" s="29"/>
      <c r="T497" s="29"/>
      <c r="U497" s="29"/>
      <c r="V497" s="29"/>
      <c r="W497" s="29"/>
      <c r="X497" s="29"/>
      <c r="Y497" s="29"/>
      <c r="Z497" s="29"/>
    </row>
    <row r="498" ht="18.75" customHeight="1">
      <c r="A498" s="37"/>
      <c r="B498" s="38"/>
      <c r="C498" s="29"/>
      <c r="D498" s="39"/>
      <c r="E498" s="29"/>
      <c r="F498" s="40"/>
      <c r="G498" s="40"/>
      <c r="H498" s="40"/>
      <c r="I498" s="29"/>
      <c r="J498" s="29"/>
      <c r="K498" s="29"/>
      <c r="L498" s="29"/>
      <c r="M498" s="29"/>
      <c r="N498" s="29"/>
      <c r="O498" s="29"/>
      <c r="P498" s="29"/>
      <c r="Q498" s="29"/>
      <c r="R498" s="29"/>
      <c r="S498" s="29"/>
      <c r="T498" s="29"/>
      <c r="U498" s="29"/>
      <c r="V498" s="29"/>
      <c r="W498" s="29"/>
      <c r="X498" s="29"/>
      <c r="Y498" s="29"/>
      <c r="Z498" s="29"/>
    </row>
    <row r="499" ht="18.75" customHeight="1">
      <c r="A499" s="37"/>
      <c r="B499" s="38"/>
      <c r="C499" s="29"/>
      <c r="D499" s="39"/>
      <c r="E499" s="29"/>
      <c r="F499" s="40"/>
      <c r="G499" s="40"/>
      <c r="H499" s="40"/>
      <c r="I499" s="29"/>
      <c r="J499" s="29"/>
      <c r="K499" s="29"/>
      <c r="L499" s="29"/>
      <c r="M499" s="29"/>
      <c r="N499" s="29"/>
      <c r="O499" s="29"/>
      <c r="P499" s="29"/>
      <c r="Q499" s="29"/>
      <c r="R499" s="29"/>
      <c r="S499" s="29"/>
      <c r="T499" s="29"/>
      <c r="U499" s="29"/>
      <c r="V499" s="29"/>
      <c r="W499" s="29"/>
      <c r="X499" s="29"/>
      <c r="Y499" s="29"/>
      <c r="Z499" s="29"/>
    </row>
    <row r="500" ht="18.75" customHeight="1">
      <c r="A500" s="37"/>
      <c r="B500" s="38"/>
      <c r="C500" s="29"/>
      <c r="D500" s="39"/>
      <c r="E500" s="29"/>
      <c r="F500" s="40"/>
      <c r="G500" s="40"/>
      <c r="H500" s="40"/>
      <c r="I500" s="29"/>
      <c r="J500" s="29"/>
      <c r="K500" s="29"/>
      <c r="L500" s="29"/>
      <c r="M500" s="29"/>
      <c r="N500" s="29"/>
      <c r="O500" s="29"/>
      <c r="P500" s="29"/>
      <c r="Q500" s="29"/>
      <c r="R500" s="29"/>
      <c r="S500" s="29"/>
      <c r="T500" s="29"/>
      <c r="U500" s="29"/>
      <c r="V500" s="29"/>
      <c r="W500" s="29"/>
      <c r="X500" s="29"/>
      <c r="Y500" s="29"/>
      <c r="Z500" s="29"/>
    </row>
    <row r="501" ht="18.75" customHeight="1">
      <c r="A501" s="37"/>
      <c r="B501" s="38"/>
      <c r="C501" s="29"/>
      <c r="D501" s="39"/>
      <c r="E501" s="29"/>
      <c r="F501" s="40"/>
      <c r="G501" s="40"/>
      <c r="H501" s="40"/>
      <c r="I501" s="29"/>
      <c r="J501" s="29"/>
      <c r="K501" s="29"/>
      <c r="L501" s="29"/>
      <c r="M501" s="29"/>
      <c r="N501" s="29"/>
      <c r="O501" s="29"/>
      <c r="P501" s="29"/>
      <c r="Q501" s="29"/>
      <c r="R501" s="29"/>
      <c r="S501" s="29"/>
      <c r="T501" s="29"/>
      <c r="U501" s="29"/>
      <c r="V501" s="29"/>
      <c r="W501" s="29"/>
      <c r="X501" s="29"/>
      <c r="Y501" s="29"/>
      <c r="Z501" s="29"/>
    </row>
    <row r="502" ht="18.75" customHeight="1">
      <c r="A502" s="37"/>
      <c r="B502" s="38"/>
      <c r="C502" s="29"/>
      <c r="D502" s="39"/>
      <c r="E502" s="29"/>
      <c r="F502" s="40"/>
      <c r="G502" s="40"/>
      <c r="H502" s="40"/>
      <c r="I502" s="29"/>
      <c r="J502" s="29"/>
      <c r="K502" s="29"/>
      <c r="L502" s="29"/>
      <c r="M502" s="29"/>
      <c r="N502" s="29"/>
      <c r="O502" s="29"/>
      <c r="P502" s="29"/>
      <c r="Q502" s="29"/>
      <c r="R502" s="29"/>
      <c r="S502" s="29"/>
      <c r="T502" s="29"/>
      <c r="U502" s="29"/>
      <c r="V502" s="29"/>
      <c r="W502" s="29"/>
      <c r="X502" s="29"/>
      <c r="Y502" s="29"/>
      <c r="Z502" s="29"/>
    </row>
    <row r="503" ht="18.75" customHeight="1">
      <c r="A503" s="37"/>
      <c r="B503" s="38"/>
      <c r="C503" s="29"/>
      <c r="D503" s="39"/>
      <c r="E503" s="29"/>
      <c r="F503" s="40"/>
      <c r="G503" s="40"/>
      <c r="H503" s="40"/>
      <c r="I503" s="29"/>
      <c r="J503" s="29"/>
      <c r="K503" s="29"/>
      <c r="L503" s="29"/>
      <c r="M503" s="29"/>
      <c r="N503" s="29"/>
      <c r="O503" s="29"/>
      <c r="P503" s="29"/>
      <c r="Q503" s="29"/>
      <c r="R503" s="29"/>
      <c r="S503" s="29"/>
      <c r="T503" s="29"/>
      <c r="U503" s="29"/>
      <c r="V503" s="29"/>
      <c r="W503" s="29"/>
      <c r="X503" s="29"/>
      <c r="Y503" s="29"/>
      <c r="Z503" s="29"/>
    </row>
    <row r="504" ht="18.75" customHeight="1">
      <c r="A504" s="37"/>
      <c r="B504" s="38"/>
      <c r="C504" s="29"/>
      <c r="D504" s="39"/>
      <c r="E504" s="29"/>
      <c r="F504" s="40"/>
      <c r="G504" s="40"/>
      <c r="H504" s="40"/>
      <c r="I504" s="29"/>
      <c r="J504" s="29"/>
      <c r="K504" s="29"/>
      <c r="L504" s="29"/>
      <c r="M504" s="29"/>
      <c r="N504" s="29"/>
      <c r="O504" s="29"/>
      <c r="P504" s="29"/>
      <c r="Q504" s="29"/>
      <c r="R504" s="29"/>
      <c r="S504" s="29"/>
      <c r="T504" s="29"/>
      <c r="U504" s="29"/>
      <c r="V504" s="29"/>
      <c r="W504" s="29"/>
      <c r="X504" s="29"/>
      <c r="Y504" s="29"/>
      <c r="Z504" s="29"/>
    </row>
    <row r="505" ht="18.75" customHeight="1">
      <c r="A505" s="37"/>
      <c r="B505" s="38"/>
      <c r="C505" s="29"/>
      <c r="D505" s="39"/>
      <c r="E505" s="29"/>
      <c r="F505" s="40"/>
      <c r="G505" s="40"/>
      <c r="H505" s="40"/>
      <c r="I505" s="29"/>
      <c r="J505" s="29"/>
      <c r="K505" s="29"/>
      <c r="L505" s="29"/>
      <c r="M505" s="29"/>
      <c r="N505" s="29"/>
      <c r="O505" s="29"/>
      <c r="P505" s="29"/>
      <c r="Q505" s="29"/>
      <c r="R505" s="29"/>
      <c r="S505" s="29"/>
      <c r="T505" s="29"/>
      <c r="U505" s="29"/>
      <c r="V505" s="29"/>
      <c r="W505" s="29"/>
      <c r="X505" s="29"/>
      <c r="Y505" s="29"/>
      <c r="Z505" s="29"/>
    </row>
    <row r="506" ht="18.75" customHeight="1">
      <c r="A506" s="37"/>
      <c r="B506" s="38"/>
      <c r="C506" s="29"/>
      <c r="D506" s="39"/>
      <c r="E506" s="29"/>
      <c r="F506" s="40"/>
      <c r="G506" s="40"/>
      <c r="H506" s="40"/>
      <c r="I506" s="29"/>
      <c r="J506" s="29"/>
      <c r="K506" s="29"/>
      <c r="L506" s="29"/>
      <c r="M506" s="29"/>
      <c r="N506" s="29"/>
      <c r="O506" s="29"/>
      <c r="P506" s="29"/>
      <c r="Q506" s="29"/>
      <c r="R506" s="29"/>
      <c r="S506" s="29"/>
      <c r="T506" s="29"/>
      <c r="U506" s="29"/>
      <c r="V506" s="29"/>
      <c r="W506" s="29"/>
      <c r="X506" s="29"/>
      <c r="Y506" s="29"/>
      <c r="Z506" s="29"/>
    </row>
    <row r="507" ht="18.75" customHeight="1">
      <c r="A507" s="37"/>
      <c r="B507" s="38"/>
      <c r="C507" s="29"/>
      <c r="D507" s="39"/>
      <c r="E507" s="29"/>
      <c r="F507" s="40"/>
      <c r="G507" s="40"/>
      <c r="H507" s="40"/>
      <c r="I507" s="29"/>
      <c r="J507" s="29"/>
      <c r="K507" s="29"/>
      <c r="L507" s="29"/>
      <c r="M507" s="29"/>
      <c r="N507" s="29"/>
      <c r="O507" s="29"/>
      <c r="P507" s="29"/>
      <c r="Q507" s="29"/>
      <c r="R507" s="29"/>
      <c r="S507" s="29"/>
      <c r="T507" s="29"/>
      <c r="U507" s="29"/>
      <c r="V507" s="29"/>
      <c r="W507" s="29"/>
      <c r="X507" s="29"/>
      <c r="Y507" s="29"/>
      <c r="Z507" s="29"/>
    </row>
    <row r="508" ht="18.75" customHeight="1">
      <c r="A508" s="37"/>
      <c r="B508" s="38"/>
      <c r="C508" s="29"/>
      <c r="D508" s="39"/>
      <c r="E508" s="29"/>
      <c r="F508" s="40"/>
      <c r="G508" s="40"/>
      <c r="H508" s="40"/>
      <c r="I508" s="29"/>
      <c r="J508" s="29"/>
      <c r="K508" s="29"/>
      <c r="L508" s="29"/>
      <c r="M508" s="29"/>
      <c r="N508" s="29"/>
      <c r="O508" s="29"/>
      <c r="P508" s="29"/>
      <c r="Q508" s="29"/>
      <c r="R508" s="29"/>
      <c r="S508" s="29"/>
      <c r="T508" s="29"/>
      <c r="U508" s="29"/>
      <c r="V508" s="29"/>
      <c r="W508" s="29"/>
      <c r="X508" s="29"/>
      <c r="Y508" s="29"/>
      <c r="Z508" s="29"/>
    </row>
    <row r="509" ht="18.75" customHeight="1">
      <c r="A509" s="37"/>
      <c r="B509" s="38"/>
      <c r="C509" s="29"/>
      <c r="D509" s="39"/>
      <c r="E509" s="29"/>
      <c r="F509" s="40"/>
      <c r="G509" s="40"/>
      <c r="H509" s="40"/>
      <c r="I509" s="29"/>
      <c r="J509" s="29"/>
      <c r="K509" s="29"/>
      <c r="L509" s="29"/>
      <c r="M509" s="29"/>
      <c r="N509" s="29"/>
      <c r="O509" s="29"/>
      <c r="P509" s="29"/>
      <c r="Q509" s="29"/>
      <c r="R509" s="29"/>
      <c r="S509" s="29"/>
      <c r="T509" s="29"/>
      <c r="U509" s="29"/>
      <c r="V509" s="29"/>
      <c r="W509" s="29"/>
      <c r="X509" s="29"/>
      <c r="Y509" s="29"/>
      <c r="Z509" s="29"/>
    </row>
    <row r="510" ht="18.75" customHeight="1">
      <c r="A510" s="37"/>
      <c r="B510" s="38"/>
      <c r="C510" s="29"/>
      <c r="D510" s="39"/>
      <c r="E510" s="29"/>
      <c r="F510" s="40"/>
      <c r="G510" s="40"/>
      <c r="H510" s="40"/>
      <c r="I510" s="29"/>
      <c r="J510" s="29"/>
      <c r="K510" s="29"/>
      <c r="L510" s="29"/>
      <c r="M510" s="29"/>
      <c r="N510" s="29"/>
      <c r="O510" s="29"/>
      <c r="P510" s="29"/>
      <c r="Q510" s="29"/>
      <c r="R510" s="29"/>
      <c r="S510" s="29"/>
      <c r="T510" s="29"/>
      <c r="U510" s="29"/>
      <c r="V510" s="29"/>
      <c r="W510" s="29"/>
      <c r="X510" s="29"/>
      <c r="Y510" s="29"/>
      <c r="Z510" s="29"/>
    </row>
    <row r="511" ht="18.75" customHeight="1">
      <c r="A511" s="37"/>
      <c r="B511" s="38"/>
      <c r="C511" s="29"/>
      <c r="D511" s="39"/>
      <c r="E511" s="29"/>
      <c r="F511" s="40"/>
      <c r="G511" s="40"/>
      <c r="H511" s="40"/>
      <c r="I511" s="29"/>
      <c r="J511" s="29"/>
      <c r="K511" s="29"/>
      <c r="L511" s="29"/>
      <c r="M511" s="29"/>
      <c r="N511" s="29"/>
      <c r="O511" s="29"/>
      <c r="P511" s="29"/>
      <c r="Q511" s="29"/>
      <c r="R511" s="29"/>
      <c r="S511" s="29"/>
      <c r="T511" s="29"/>
      <c r="U511" s="29"/>
      <c r="V511" s="29"/>
      <c r="W511" s="29"/>
      <c r="X511" s="29"/>
      <c r="Y511" s="29"/>
      <c r="Z511" s="29"/>
    </row>
    <row r="512" ht="18.75" customHeight="1">
      <c r="A512" s="37"/>
      <c r="B512" s="38"/>
      <c r="C512" s="29"/>
      <c r="D512" s="39"/>
      <c r="E512" s="29"/>
      <c r="F512" s="40"/>
      <c r="G512" s="40"/>
      <c r="H512" s="40"/>
      <c r="I512" s="29"/>
      <c r="J512" s="29"/>
      <c r="K512" s="29"/>
      <c r="L512" s="29"/>
      <c r="M512" s="29"/>
      <c r="N512" s="29"/>
      <c r="O512" s="29"/>
      <c r="P512" s="29"/>
      <c r="Q512" s="29"/>
      <c r="R512" s="29"/>
      <c r="S512" s="29"/>
      <c r="T512" s="29"/>
      <c r="U512" s="29"/>
      <c r="V512" s="29"/>
      <c r="W512" s="29"/>
      <c r="X512" s="29"/>
      <c r="Y512" s="29"/>
      <c r="Z512" s="29"/>
    </row>
    <row r="513" ht="18.75" customHeight="1">
      <c r="A513" s="37"/>
      <c r="B513" s="38"/>
      <c r="C513" s="29"/>
      <c r="D513" s="39"/>
      <c r="E513" s="29"/>
      <c r="F513" s="40"/>
      <c r="G513" s="40"/>
      <c r="H513" s="40"/>
      <c r="I513" s="29"/>
      <c r="J513" s="29"/>
      <c r="K513" s="29"/>
      <c r="L513" s="29"/>
      <c r="M513" s="29"/>
      <c r="N513" s="29"/>
      <c r="O513" s="29"/>
      <c r="P513" s="29"/>
      <c r="Q513" s="29"/>
      <c r="R513" s="29"/>
      <c r="S513" s="29"/>
      <c r="T513" s="29"/>
      <c r="U513" s="29"/>
      <c r="V513" s="29"/>
      <c r="W513" s="29"/>
      <c r="X513" s="29"/>
      <c r="Y513" s="29"/>
      <c r="Z513" s="29"/>
    </row>
    <row r="514" ht="18.75" customHeight="1">
      <c r="A514" s="37"/>
      <c r="B514" s="38"/>
      <c r="C514" s="29"/>
      <c r="D514" s="39"/>
      <c r="E514" s="29"/>
      <c r="F514" s="40"/>
      <c r="G514" s="40"/>
      <c r="H514" s="40"/>
      <c r="I514" s="29"/>
      <c r="J514" s="29"/>
      <c r="K514" s="29"/>
      <c r="L514" s="29"/>
      <c r="M514" s="29"/>
      <c r="N514" s="29"/>
      <c r="O514" s="29"/>
      <c r="P514" s="29"/>
      <c r="Q514" s="29"/>
      <c r="R514" s="29"/>
      <c r="S514" s="29"/>
      <c r="T514" s="29"/>
      <c r="U514" s="29"/>
      <c r="V514" s="29"/>
      <c r="W514" s="29"/>
      <c r="X514" s="29"/>
      <c r="Y514" s="29"/>
      <c r="Z514" s="29"/>
    </row>
    <row r="515" ht="18.75" customHeight="1">
      <c r="A515" s="37"/>
      <c r="B515" s="38"/>
      <c r="C515" s="29"/>
      <c r="D515" s="39"/>
      <c r="E515" s="29"/>
      <c r="F515" s="40"/>
      <c r="G515" s="40"/>
      <c r="H515" s="40"/>
      <c r="I515" s="29"/>
      <c r="J515" s="29"/>
      <c r="K515" s="29"/>
      <c r="L515" s="29"/>
      <c r="M515" s="29"/>
      <c r="N515" s="29"/>
      <c r="O515" s="29"/>
      <c r="P515" s="29"/>
      <c r="Q515" s="29"/>
      <c r="R515" s="29"/>
      <c r="S515" s="29"/>
      <c r="T515" s="29"/>
      <c r="U515" s="29"/>
      <c r="V515" s="29"/>
      <c r="W515" s="29"/>
      <c r="X515" s="29"/>
      <c r="Y515" s="29"/>
      <c r="Z515" s="29"/>
    </row>
    <row r="516" ht="18.75" customHeight="1">
      <c r="A516" s="37"/>
      <c r="B516" s="38"/>
      <c r="C516" s="29"/>
      <c r="D516" s="39"/>
      <c r="E516" s="29"/>
      <c r="F516" s="40"/>
      <c r="G516" s="40"/>
      <c r="H516" s="40"/>
      <c r="I516" s="29"/>
      <c r="J516" s="29"/>
      <c r="K516" s="29"/>
      <c r="L516" s="29"/>
      <c r="M516" s="29"/>
      <c r="N516" s="29"/>
      <c r="O516" s="29"/>
      <c r="P516" s="29"/>
      <c r="Q516" s="29"/>
      <c r="R516" s="29"/>
      <c r="S516" s="29"/>
      <c r="T516" s="29"/>
      <c r="U516" s="29"/>
      <c r="V516" s="29"/>
      <c r="W516" s="29"/>
      <c r="X516" s="29"/>
      <c r="Y516" s="29"/>
      <c r="Z516" s="29"/>
    </row>
    <row r="517" ht="18.75" customHeight="1">
      <c r="A517" s="37"/>
      <c r="B517" s="38"/>
      <c r="C517" s="29"/>
      <c r="D517" s="39"/>
      <c r="E517" s="29"/>
      <c r="F517" s="40"/>
      <c r="G517" s="40"/>
      <c r="H517" s="40"/>
      <c r="I517" s="29"/>
      <c r="J517" s="29"/>
      <c r="K517" s="29"/>
      <c r="L517" s="29"/>
      <c r="M517" s="29"/>
      <c r="N517" s="29"/>
      <c r="O517" s="29"/>
      <c r="P517" s="29"/>
      <c r="Q517" s="29"/>
      <c r="R517" s="29"/>
      <c r="S517" s="29"/>
      <c r="T517" s="29"/>
      <c r="U517" s="29"/>
      <c r="V517" s="29"/>
      <c r="W517" s="29"/>
      <c r="X517" s="29"/>
      <c r="Y517" s="29"/>
      <c r="Z517" s="29"/>
    </row>
    <row r="518" ht="18.75" customHeight="1">
      <c r="A518" s="37"/>
      <c r="B518" s="38"/>
      <c r="C518" s="29"/>
      <c r="D518" s="39"/>
      <c r="E518" s="29"/>
      <c r="F518" s="40"/>
      <c r="G518" s="40"/>
      <c r="H518" s="40"/>
      <c r="I518" s="29"/>
      <c r="J518" s="29"/>
      <c r="K518" s="29"/>
      <c r="L518" s="29"/>
      <c r="M518" s="29"/>
      <c r="N518" s="29"/>
      <c r="O518" s="29"/>
      <c r="P518" s="29"/>
      <c r="Q518" s="29"/>
      <c r="R518" s="29"/>
      <c r="S518" s="29"/>
      <c r="T518" s="29"/>
      <c r="U518" s="29"/>
      <c r="V518" s="29"/>
      <c r="W518" s="29"/>
      <c r="X518" s="29"/>
      <c r="Y518" s="29"/>
      <c r="Z518" s="29"/>
    </row>
    <row r="519" ht="18.75" customHeight="1">
      <c r="A519" s="37"/>
      <c r="B519" s="38"/>
      <c r="C519" s="29"/>
      <c r="D519" s="39"/>
      <c r="E519" s="29"/>
      <c r="F519" s="40"/>
      <c r="G519" s="40"/>
      <c r="H519" s="40"/>
      <c r="I519" s="29"/>
      <c r="J519" s="29"/>
      <c r="K519" s="29"/>
      <c r="L519" s="29"/>
      <c r="M519" s="29"/>
      <c r="N519" s="29"/>
      <c r="O519" s="29"/>
      <c r="P519" s="29"/>
      <c r="Q519" s="29"/>
      <c r="R519" s="29"/>
      <c r="S519" s="29"/>
      <c r="T519" s="29"/>
      <c r="U519" s="29"/>
      <c r="V519" s="29"/>
      <c r="W519" s="29"/>
      <c r="X519" s="29"/>
      <c r="Y519" s="29"/>
      <c r="Z519" s="29"/>
    </row>
    <row r="520" ht="18.75" customHeight="1">
      <c r="A520" s="37"/>
      <c r="B520" s="38"/>
      <c r="C520" s="29"/>
      <c r="D520" s="39"/>
      <c r="E520" s="29"/>
      <c r="F520" s="40"/>
      <c r="G520" s="40"/>
      <c r="H520" s="40"/>
      <c r="I520" s="29"/>
      <c r="J520" s="29"/>
      <c r="K520" s="29"/>
      <c r="L520" s="29"/>
      <c r="M520" s="29"/>
      <c r="N520" s="29"/>
      <c r="O520" s="29"/>
      <c r="P520" s="29"/>
      <c r="Q520" s="29"/>
      <c r="R520" s="29"/>
      <c r="S520" s="29"/>
      <c r="T520" s="29"/>
      <c r="U520" s="29"/>
      <c r="V520" s="29"/>
      <c r="W520" s="29"/>
      <c r="X520" s="29"/>
      <c r="Y520" s="29"/>
      <c r="Z520" s="29"/>
    </row>
    <row r="521" ht="18.75" customHeight="1">
      <c r="A521" s="37"/>
      <c r="B521" s="38"/>
      <c r="C521" s="29"/>
      <c r="D521" s="39"/>
      <c r="E521" s="29"/>
      <c r="F521" s="40"/>
      <c r="G521" s="40"/>
      <c r="H521" s="40"/>
      <c r="I521" s="29"/>
      <c r="J521" s="29"/>
      <c r="K521" s="29"/>
      <c r="L521" s="29"/>
      <c r="M521" s="29"/>
      <c r="N521" s="29"/>
      <c r="O521" s="29"/>
      <c r="P521" s="29"/>
      <c r="Q521" s="29"/>
      <c r="R521" s="29"/>
      <c r="S521" s="29"/>
      <c r="T521" s="29"/>
      <c r="U521" s="29"/>
      <c r="V521" s="29"/>
      <c r="W521" s="29"/>
      <c r="X521" s="29"/>
      <c r="Y521" s="29"/>
      <c r="Z521" s="29"/>
    </row>
    <row r="522" ht="18.75" customHeight="1">
      <c r="A522" s="37"/>
      <c r="B522" s="38"/>
      <c r="C522" s="29"/>
      <c r="D522" s="39"/>
      <c r="E522" s="29"/>
      <c r="F522" s="40"/>
      <c r="G522" s="40"/>
      <c r="H522" s="40"/>
      <c r="I522" s="29"/>
      <c r="J522" s="29"/>
      <c r="K522" s="29"/>
      <c r="L522" s="29"/>
      <c r="M522" s="29"/>
      <c r="N522" s="29"/>
      <c r="O522" s="29"/>
      <c r="P522" s="29"/>
      <c r="Q522" s="29"/>
      <c r="R522" s="29"/>
      <c r="S522" s="29"/>
      <c r="T522" s="29"/>
      <c r="U522" s="29"/>
      <c r="V522" s="29"/>
      <c r="W522" s="29"/>
      <c r="X522" s="29"/>
      <c r="Y522" s="29"/>
      <c r="Z522" s="29"/>
    </row>
    <row r="523" ht="18.75" customHeight="1">
      <c r="A523" s="37"/>
      <c r="B523" s="38"/>
      <c r="C523" s="29"/>
      <c r="D523" s="39"/>
      <c r="E523" s="29"/>
      <c r="F523" s="40"/>
      <c r="G523" s="40"/>
      <c r="H523" s="40"/>
      <c r="I523" s="29"/>
      <c r="J523" s="29"/>
      <c r="K523" s="29"/>
      <c r="L523" s="29"/>
      <c r="M523" s="29"/>
      <c r="N523" s="29"/>
      <c r="O523" s="29"/>
      <c r="P523" s="29"/>
      <c r="Q523" s="29"/>
      <c r="R523" s="29"/>
      <c r="S523" s="29"/>
      <c r="T523" s="29"/>
      <c r="U523" s="29"/>
      <c r="V523" s="29"/>
      <c r="W523" s="29"/>
      <c r="X523" s="29"/>
      <c r="Y523" s="29"/>
      <c r="Z523" s="29"/>
    </row>
    <row r="524" ht="18.75" customHeight="1">
      <c r="A524" s="37"/>
      <c r="B524" s="38"/>
      <c r="C524" s="29"/>
      <c r="D524" s="39"/>
      <c r="E524" s="29"/>
      <c r="F524" s="40"/>
      <c r="G524" s="40"/>
      <c r="H524" s="40"/>
      <c r="I524" s="29"/>
      <c r="J524" s="29"/>
      <c r="K524" s="29"/>
      <c r="L524" s="29"/>
      <c r="M524" s="29"/>
      <c r="N524" s="29"/>
      <c r="O524" s="29"/>
      <c r="P524" s="29"/>
      <c r="Q524" s="29"/>
      <c r="R524" s="29"/>
      <c r="S524" s="29"/>
      <c r="T524" s="29"/>
      <c r="U524" s="29"/>
      <c r="V524" s="29"/>
      <c r="W524" s="29"/>
      <c r="X524" s="29"/>
      <c r="Y524" s="29"/>
      <c r="Z524" s="29"/>
    </row>
    <row r="525" ht="18.75" customHeight="1">
      <c r="A525" s="37"/>
      <c r="B525" s="38"/>
      <c r="C525" s="29"/>
      <c r="D525" s="39"/>
      <c r="E525" s="29"/>
      <c r="F525" s="40"/>
      <c r="G525" s="40"/>
      <c r="H525" s="40"/>
      <c r="I525" s="29"/>
      <c r="J525" s="29"/>
      <c r="K525" s="29"/>
      <c r="L525" s="29"/>
      <c r="M525" s="29"/>
      <c r="N525" s="29"/>
      <c r="O525" s="29"/>
      <c r="P525" s="29"/>
      <c r="Q525" s="29"/>
      <c r="R525" s="29"/>
      <c r="S525" s="29"/>
      <c r="T525" s="29"/>
      <c r="U525" s="29"/>
      <c r="V525" s="29"/>
      <c r="W525" s="29"/>
      <c r="X525" s="29"/>
      <c r="Y525" s="29"/>
      <c r="Z525" s="29"/>
    </row>
    <row r="526" ht="18.75" customHeight="1">
      <c r="A526" s="37"/>
      <c r="B526" s="38"/>
      <c r="C526" s="29"/>
      <c r="D526" s="39"/>
      <c r="E526" s="29"/>
      <c r="F526" s="40"/>
      <c r="G526" s="40"/>
      <c r="H526" s="40"/>
      <c r="I526" s="29"/>
      <c r="J526" s="29"/>
      <c r="K526" s="29"/>
      <c r="L526" s="29"/>
      <c r="M526" s="29"/>
      <c r="N526" s="29"/>
      <c r="O526" s="29"/>
      <c r="P526" s="29"/>
      <c r="Q526" s="29"/>
      <c r="R526" s="29"/>
      <c r="S526" s="29"/>
      <c r="T526" s="29"/>
      <c r="U526" s="29"/>
      <c r="V526" s="29"/>
      <c r="W526" s="29"/>
      <c r="X526" s="29"/>
      <c r="Y526" s="29"/>
      <c r="Z526" s="29"/>
    </row>
    <row r="527" ht="18.75" customHeight="1">
      <c r="A527" s="37"/>
      <c r="B527" s="38"/>
      <c r="C527" s="29"/>
      <c r="D527" s="39"/>
      <c r="E527" s="29"/>
      <c r="F527" s="40"/>
      <c r="G527" s="40"/>
      <c r="H527" s="40"/>
      <c r="I527" s="29"/>
      <c r="J527" s="29"/>
      <c r="K527" s="29"/>
      <c r="L527" s="29"/>
      <c r="M527" s="29"/>
      <c r="N527" s="29"/>
      <c r="O527" s="29"/>
      <c r="P527" s="29"/>
      <c r="Q527" s="29"/>
      <c r="R527" s="29"/>
      <c r="S527" s="29"/>
      <c r="T527" s="29"/>
      <c r="U527" s="29"/>
      <c r="V527" s="29"/>
      <c r="W527" s="29"/>
      <c r="X527" s="29"/>
      <c r="Y527" s="29"/>
      <c r="Z527" s="29"/>
    </row>
    <row r="528" ht="18.75" customHeight="1">
      <c r="A528" s="37"/>
      <c r="B528" s="38"/>
      <c r="C528" s="29"/>
      <c r="D528" s="39"/>
      <c r="E528" s="29"/>
      <c r="F528" s="40"/>
      <c r="G528" s="40"/>
      <c r="H528" s="40"/>
      <c r="I528" s="29"/>
      <c r="J528" s="29"/>
      <c r="K528" s="29"/>
      <c r="L528" s="29"/>
      <c r="M528" s="29"/>
      <c r="N528" s="29"/>
      <c r="O528" s="29"/>
      <c r="P528" s="29"/>
      <c r="Q528" s="29"/>
      <c r="R528" s="29"/>
      <c r="S528" s="29"/>
      <c r="T528" s="29"/>
      <c r="U528" s="29"/>
      <c r="V528" s="29"/>
      <c r="W528" s="29"/>
      <c r="X528" s="29"/>
      <c r="Y528" s="29"/>
      <c r="Z528" s="29"/>
    </row>
    <row r="529" ht="18.75" customHeight="1">
      <c r="A529" s="37"/>
      <c r="B529" s="38"/>
      <c r="C529" s="29"/>
      <c r="D529" s="39"/>
      <c r="E529" s="29"/>
      <c r="F529" s="40"/>
      <c r="G529" s="40"/>
      <c r="H529" s="40"/>
      <c r="I529" s="29"/>
      <c r="J529" s="29"/>
      <c r="K529" s="29"/>
      <c r="L529" s="29"/>
      <c r="M529" s="29"/>
      <c r="N529" s="29"/>
      <c r="O529" s="29"/>
      <c r="P529" s="29"/>
      <c r="Q529" s="29"/>
      <c r="R529" s="29"/>
      <c r="S529" s="29"/>
      <c r="T529" s="29"/>
      <c r="U529" s="29"/>
      <c r="V529" s="29"/>
      <c r="W529" s="29"/>
      <c r="X529" s="29"/>
      <c r="Y529" s="29"/>
      <c r="Z529" s="29"/>
    </row>
    <row r="530" ht="18.75" customHeight="1">
      <c r="A530" s="37"/>
      <c r="B530" s="38"/>
      <c r="C530" s="29"/>
      <c r="D530" s="39"/>
      <c r="E530" s="29"/>
      <c r="F530" s="40"/>
      <c r="G530" s="40"/>
      <c r="H530" s="40"/>
      <c r="I530" s="29"/>
      <c r="J530" s="29"/>
      <c r="K530" s="29"/>
      <c r="L530" s="29"/>
      <c r="M530" s="29"/>
      <c r="N530" s="29"/>
      <c r="O530" s="29"/>
      <c r="P530" s="29"/>
      <c r="Q530" s="29"/>
      <c r="R530" s="29"/>
      <c r="S530" s="29"/>
      <c r="T530" s="29"/>
      <c r="U530" s="29"/>
      <c r="V530" s="29"/>
      <c r="W530" s="29"/>
      <c r="X530" s="29"/>
      <c r="Y530" s="29"/>
      <c r="Z530" s="29"/>
    </row>
    <row r="531" ht="18.75" customHeight="1">
      <c r="A531" s="37"/>
      <c r="B531" s="38"/>
      <c r="C531" s="29"/>
      <c r="D531" s="39"/>
      <c r="E531" s="29"/>
      <c r="F531" s="40"/>
      <c r="G531" s="40"/>
      <c r="H531" s="40"/>
      <c r="I531" s="29"/>
      <c r="J531" s="29"/>
      <c r="K531" s="29"/>
      <c r="L531" s="29"/>
      <c r="M531" s="29"/>
      <c r="N531" s="29"/>
      <c r="O531" s="29"/>
      <c r="P531" s="29"/>
      <c r="Q531" s="29"/>
      <c r="R531" s="29"/>
      <c r="S531" s="29"/>
      <c r="T531" s="29"/>
      <c r="U531" s="29"/>
      <c r="V531" s="29"/>
      <c r="W531" s="29"/>
      <c r="X531" s="29"/>
      <c r="Y531" s="29"/>
      <c r="Z531" s="29"/>
    </row>
    <row r="532" ht="18.75" customHeight="1">
      <c r="A532" s="37"/>
      <c r="B532" s="38"/>
      <c r="C532" s="29"/>
      <c r="D532" s="39"/>
      <c r="E532" s="29"/>
      <c r="F532" s="40"/>
      <c r="G532" s="40"/>
      <c r="H532" s="40"/>
      <c r="I532" s="29"/>
      <c r="J532" s="29"/>
      <c r="K532" s="29"/>
      <c r="L532" s="29"/>
      <c r="M532" s="29"/>
      <c r="N532" s="29"/>
      <c r="O532" s="29"/>
      <c r="P532" s="29"/>
      <c r="Q532" s="29"/>
      <c r="R532" s="29"/>
      <c r="S532" s="29"/>
      <c r="T532" s="29"/>
      <c r="U532" s="29"/>
      <c r="V532" s="29"/>
      <c r="W532" s="29"/>
      <c r="X532" s="29"/>
      <c r="Y532" s="29"/>
      <c r="Z532" s="29"/>
    </row>
    <row r="533" ht="18.75" customHeight="1">
      <c r="A533" s="37"/>
      <c r="B533" s="38"/>
      <c r="C533" s="29"/>
      <c r="D533" s="39"/>
      <c r="E533" s="29"/>
      <c r="F533" s="40"/>
      <c r="G533" s="40"/>
      <c r="H533" s="40"/>
      <c r="I533" s="29"/>
      <c r="J533" s="29"/>
      <c r="K533" s="29"/>
      <c r="L533" s="29"/>
      <c r="M533" s="29"/>
      <c r="N533" s="29"/>
      <c r="O533" s="29"/>
      <c r="P533" s="29"/>
      <c r="Q533" s="29"/>
      <c r="R533" s="29"/>
      <c r="S533" s="29"/>
      <c r="T533" s="29"/>
      <c r="U533" s="29"/>
      <c r="V533" s="29"/>
      <c r="W533" s="29"/>
      <c r="X533" s="29"/>
      <c r="Y533" s="29"/>
      <c r="Z533" s="29"/>
    </row>
    <row r="534" ht="18.75" customHeight="1">
      <c r="A534" s="37"/>
      <c r="B534" s="38"/>
      <c r="C534" s="29"/>
      <c r="D534" s="39"/>
      <c r="E534" s="29"/>
      <c r="F534" s="40"/>
      <c r="G534" s="40"/>
      <c r="H534" s="40"/>
      <c r="I534" s="29"/>
      <c r="J534" s="29"/>
      <c r="K534" s="29"/>
      <c r="L534" s="29"/>
      <c r="M534" s="29"/>
      <c r="N534" s="29"/>
      <c r="O534" s="29"/>
      <c r="P534" s="29"/>
      <c r="Q534" s="29"/>
      <c r="R534" s="29"/>
      <c r="S534" s="29"/>
      <c r="T534" s="29"/>
      <c r="U534" s="29"/>
      <c r="V534" s="29"/>
      <c r="W534" s="29"/>
      <c r="X534" s="29"/>
      <c r="Y534" s="29"/>
      <c r="Z534" s="29"/>
    </row>
    <row r="535" ht="18.75" customHeight="1">
      <c r="A535" s="37"/>
      <c r="B535" s="38"/>
      <c r="C535" s="29"/>
      <c r="D535" s="39"/>
      <c r="E535" s="29"/>
      <c r="F535" s="40"/>
      <c r="G535" s="40"/>
      <c r="H535" s="40"/>
      <c r="I535" s="29"/>
      <c r="J535" s="29"/>
      <c r="K535" s="29"/>
      <c r="L535" s="29"/>
      <c r="M535" s="29"/>
      <c r="N535" s="29"/>
      <c r="O535" s="29"/>
      <c r="P535" s="29"/>
      <c r="Q535" s="29"/>
      <c r="R535" s="29"/>
      <c r="S535" s="29"/>
      <c r="T535" s="29"/>
      <c r="U535" s="29"/>
      <c r="V535" s="29"/>
      <c r="W535" s="29"/>
      <c r="X535" s="29"/>
      <c r="Y535" s="29"/>
      <c r="Z535" s="29"/>
    </row>
    <row r="536" ht="18.75" customHeight="1">
      <c r="A536" s="37"/>
      <c r="B536" s="38"/>
      <c r="C536" s="29"/>
      <c r="D536" s="39"/>
      <c r="E536" s="29"/>
      <c r="F536" s="40"/>
      <c r="G536" s="40"/>
      <c r="H536" s="40"/>
      <c r="I536" s="29"/>
      <c r="J536" s="29"/>
      <c r="K536" s="29"/>
      <c r="L536" s="29"/>
      <c r="M536" s="29"/>
      <c r="N536" s="29"/>
      <c r="O536" s="29"/>
      <c r="P536" s="29"/>
      <c r="Q536" s="29"/>
      <c r="R536" s="29"/>
      <c r="S536" s="29"/>
      <c r="T536" s="29"/>
      <c r="U536" s="29"/>
      <c r="V536" s="29"/>
      <c r="W536" s="29"/>
      <c r="X536" s="29"/>
      <c r="Y536" s="29"/>
      <c r="Z536" s="29"/>
    </row>
    <row r="537" ht="18.75" customHeight="1">
      <c r="A537" s="37"/>
      <c r="B537" s="38"/>
      <c r="C537" s="29"/>
      <c r="D537" s="39"/>
      <c r="E537" s="29"/>
      <c r="F537" s="40"/>
      <c r="G537" s="40"/>
      <c r="H537" s="40"/>
      <c r="I537" s="29"/>
      <c r="J537" s="29"/>
      <c r="K537" s="29"/>
      <c r="L537" s="29"/>
      <c r="M537" s="29"/>
      <c r="N537" s="29"/>
      <c r="O537" s="29"/>
      <c r="P537" s="29"/>
      <c r="Q537" s="29"/>
      <c r="R537" s="29"/>
      <c r="S537" s="29"/>
      <c r="T537" s="29"/>
      <c r="U537" s="29"/>
      <c r="V537" s="29"/>
      <c r="W537" s="29"/>
      <c r="X537" s="29"/>
      <c r="Y537" s="29"/>
      <c r="Z537" s="29"/>
    </row>
    <row r="538" ht="18.75" customHeight="1">
      <c r="A538" s="37"/>
      <c r="B538" s="38"/>
      <c r="C538" s="29"/>
      <c r="D538" s="39"/>
      <c r="E538" s="29"/>
      <c r="F538" s="40"/>
      <c r="G538" s="40"/>
      <c r="H538" s="40"/>
      <c r="I538" s="29"/>
      <c r="J538" s="29"/>
      <c r="K538" s="29"/>
      <c r="L538" s="29"/>
      <c r="M538" s="29"/>
      <c r="N538" s="29"/>
      <c r="O538" s="29"/>
      <c r="P538" s="29"/>
      <c r="Q538" s="29"/>
      <c r="R538" s="29"/>
      <c r="S538" s="29"/>
      <c r="T538" s="29"/>
      <c r="U538" s="29"/>
      <c r="V538" s="29"/>
      <c r="W538" s="29"/>
      <c r="X538" s="29"/>
      <c r="Y538" s="29"/>
      <c r="Z538" s="29"/>
    </row>
    <row r="539" ht="18.75" customHeight="1">
      <c r="A539" s="37"/>
      <c r="B539" s="38"/>
      <c r="C539" s="29"/>
      <c r="D539" s="39"/>
      <c r="E539" s="29"/>
      <c r="F539" s="40"/>
      <c r="G539" s="40"/>
      <c r="H539" s="40"/>
      <c r="I539" s="29"/>
      <c r="J539" s="29"/>
      <c r="K539" s="29"/>
      <c r="L539" s="29"/>
      <c r="M539" s="29"/>
      <c r="N539" s="29"/>
      <c r="O539" s="29"/>
      <c r="P539" s="29"/>
      <c r="Q539" s="29"/>
      <c r="R539" s="29"/>
      <c r="S539" s="29"/>
      <c r="T539" s="29"/>
      <c r="U539" s="29"/>
      <c r="V539" s="29"/>
      <c r="W539" s="29"/>
      <c r="X539" s="29"/>
      <c r="Y539" s="29"/>
      <c r="Z539" s="29"/>
    </row>
    <row r="540" ht="18.75" customHeight="1">
      <c r="A540" s="37"/>
      <c r="B540" s="38"/>
      <c r="C540" s="29"/>
      <c r="D540" s="39"/>
      <c r="E540" s="29"/>
      <c r="F540" s="40"/>
      <c r="G540" s="40"/>
      <c r="H540" s="40"/>
      <c r="I540" s="29"/>
      <c r="J540" s="29"/>
      <c r="K540" s="29"/>
      <c r="L540" s="29"/>
      <c r="M540" s="29"/>
      <c r="N540" s="29"/>
      <c r="O540" s="29"/>
      <c r="P540" s="29"/>
      <c r="Q540" s="29"/>
      <c r="R540" s="29"/>
      <c r="S540" s="29"/>
      <c r="T540" s="29"/>
      <c r="U540" s="29"/>
      <c r="V540" s="29"/>
      <c r="W540" s="29"/>
      <c r="X540" s="29"/>
      <c r="Y540" s="29"/>
      <c r="Z540" s="29"/>
    </row>
    <row r="541" ht="18.75" customHeight="1">
      <c r="A541" s="37"/>
      <c r="B541" s="38"/>
      <c r="C541" s="29"/>
      <c r="D541" s="39"/>
      <c r="E541" s="29"/>
      <c r="F541" s="40"/>
      <c r="G541" s="40"/>
      <c r="H541" s="40"/>
      <c r="I541" s="29"/>
      <c r="J541" s="29"/>
      <c r="K541" s="29"/>
      <c r="L541" s="29"/>
      <c r="M541" s="29"/>
      <c r="N541" s="29"/>
      <c r="O541" s="29"/>
      <c r="P541" s="29"/>
      <c r="Q541" s="29"/>
      <c r="R541" s="29"/>
      <c r="S541" s="29"/>
      <c r="T541" s="29"/>
      <c r="U541" s="29"/>
      <c r="V541" s="29"/>
      <c r="W541" s="29"/>
      <c r="X541" s="29"/>
      <c r="Y541" s="29"/>
      <c r="Z541" s="29"/>
    </row>
    <row r="542" ht="18.75" customHeight="1">
      <c r="A542" s="37"/>
      <c r="B542" s="38"/>
      <c r="C542" s="29"/>
      <c r="D542" s="39"/>
      <c r="E542" s="29"/>
      <c r="F542" s="40"/>
      <c r="G542" s="40"/>
      <c r="H542" s="40"/>
      <c r="I542" s="29"/>
      <c r="J542" s="29"/>
      <c r="K542" s="29"/>
      <c r="L542" s="29"/>
      <c r="M542" s="29"/>
      <c r="N542" s="29"/>
      <c r="O542" s="29"/>
      <c r="P542" s="29"/>
      <c r="Q542" s="29"/>
      <c r="R542" s="29"/>
      <c r="S542" s="29"/>
      <c r="T542" s="29"/>
      <c r="U542" s="29"/>
      <c r="V542" s="29"/>
      <c r="W542" s="29"/>
      <c r="X542" s="29"/>
      <c r="Y542" s="29"/>
      <c r="Z542" s="29"/>
    </row>
    <row r="543" ht="18.75" customHeight="1">
      <c r="A543" s="37"/>
      <c r="B543" s="38"/>
      <c r="C543" s="29"/>
      <c r="D543" s="39"/>
      <c r="E543" s="29"/>
      <c r="F543" s="40"/>
      <c r="G543" s="40"/>
      <c r="H543" s="40"/>
      <c r="I543" s="29"/>
      <c r="J543" s="29"/>
      <c r="K543" s="29"/>
      <c r="L543" s="29"/>
      <c r="M543" s="29"/>
      <c r="N543" s="29"/>
      <c r="O543" s="29"/>
      <c r="P543" s="29"/>
      <c r="Q543" s="29"/>
      <c r="R543" s="29"/>
      <c r="S543" s="29"/>
      <c r="T543" s="29"/>
      <c r="U543" s="29"/>
      <c r="V543" s="29"/>
      <c r="W543" s="29"/>
      <c r="X543" s="29"/>
      <c r="Y543" s="29"/>
      <c r="Z543" s="29"/>
    </row>
    <row r="544" ht="18.75" customHeight="1">
      <c r="A544" s="37"/>
      <c r="B544" s="38"/>
      <c r="C544" s="29"/>
      <c r="D544" s="39"/>
      <c r="E544" s="29"/>
      <c r="F544" s="40"/>
      <c r="G544" s="40"/>
      <c r="H544" s="40"/>
      <c r="I544" s="29"/>
      <c r="J544" s="29"/>
      <c r="K544" s="29"/>
      <c r="L544" s="29"/>
      <c r="M544" s="29"/>
      <c r="N544" s="29"/>
      <c r="O544" s="29"/>
      <c r="P544" s="29"/>
      <c r="Q544" s="29"/>
      <c r="R544" s="29"/>
      <c r="S544" s="29"/>
      <c r="T544" s="29"/>
      <c r="U544" s="29"/>
      <c r="V544" s="29"/>
      <c r="W544" s="29"/>
      <c r="X544" s="29"/>
      <c r="Y544" s="29"/>
      <c r="Z544" s="29"/>
    </row>
    <row r="545" ht="18.75" customHeight="1">
      <c r="A545" s="37"/>
      <c r="B545" s="38"/>
      <c r="C545" s="29"/>
      <c r="D545" s="39"/>
      <c r="E545" s="29"/>
      <c r="F545" s="40"/>
      <c r="G545" s="40"/>
      <c r="H545" s="40"/>
      <c r="I545" s="29"/>
      <c r="J545" s="29"/>
      <c r="K545" s="29"/>
      <c r="L545" s="29"/>
      <c r="M545" s="29"/>
      <c r="N545" s="29"/>
      <c r="O545" s="29"/>
      <c r="P545" s="29"/>
      <c r="Q545" s="29"/>
      <c r="R545" s="29"/>
      <c r="S545" s="29"/>
      <c r="T545" s="29"/>
      <c r="U545" s="29"/>
      <c r="V545" s="29"/>
      <c r="W545" s="29"/>
      <c r="X545" s="29"/>
      <c r="Y545" s="29"/>
      <c r="Z545" s="29"/>
    </row>
    <row r="546" ht="18.75" customHeight="1">
      <c r="A546" s="37"/>
      <c r="B546" s="38"/>
      <c r="C546" s="29"/>
      <c r="D546" s="39"/>
      <c r="E546" s="29"/>
      <c r="F546" s="40"/>
      <c r="G546" s="40"/>
      <c r="H546" s="40"/>
      <c r="I546" s="29"/>
      <c r="J546" s="29"/>
      <c r="K546" s="29"/>
      <c r="L546" s="29"/>
      <c r="M546" s="29"/>
      <c r="N546" s="29"/>
      <c r="O546" s="29"/>
      <c r="P546" s="29"/>
      <c r="Q546" s="29"/>
      <c r="R546" s="29"/>
      <c r="S546" s="29"/>
      <c r="T546" s="29"/>
      <c r="U546" s="29"/>
      <c r="V546" s="29"/>
      <c r="W546" s="29"/>
      <c r="X546" s="29"/>
      <c r="Y546" s="29"/>
      <c r="Z546" s="29"/>
    </row>
    <row r="547" ht="18.75" customHeight="1">
      <c r="A547" s="37"/>
      <c r="B547" s="38"/>
      <c r="C547" s="29"/>
      <c r="D547" s="39"/>
      <c r="E547" s="29"/>
      <c r="F547" s="40"/>
      <c r="G547" s="40"/>
      <c r="H547" s="40"/>
      <c r="I547" s="29"/>
      <c r="J547" s="29"/>
      <c r="K547" s="29"/>
      <c r="L547" s="29"/>
      <c r="M547" s="29"/>
      <c r="N547" s="29"/>
      <c r="O547" s="29"/>
      <c r="P547" s="29"/>
      <c r="Q547" s="29"/>
      <c r="R547" s="29"/>
      <c r="S547" s="29"/>
      <c r="T547" s="29"/>
      <c r="U547" s="29"/>
      <c r="V547" s="29"/>
      <c r="W547" s="29"/>
      <c r="X547" s="29"/>
      <c r="Y547" s="29"/>
      <c r="Z547" s="29"/>
    </row>
    <row r="548" ht="18.75" customHeight="1">
      <c r="A548" s="37"/>
      <c r="B548" s="38"/>
      <c r="C548" s="29"/>
      <c r="D548" s="39"/>
      <c r="E548" s="29"/>
      <c r="F548" s="40"/>
      <c r="G548" s="40"/>
      <c r="H548" s="40"/>
      <c r="I548" s="29"/>
      <c r="J548" s="29"/>
      <c r="K548" s="29"/>
      <c r="L548" s="29"/>
      <c r="M548" s="29"/>
      <c r="N548" s="29"/>
      <c r="O548" s="29"/>
      <c r="P548" s="29"/>
      <c r="Q548" s="29"/>
      <c r="R548" s="29"/>
      <c r="S548" s="29"/>
      <c r="T548" s="29"/>
      <c r="U548" s="29"/>
      <c r="V548" s="29"/>
      <c r="W548" s="29"/>
      <c r="X548" s="29"/>
      <c r="Y548" s="29"/>
      <c r="Z548" s="29"/>
    </row>
    <row r="549" ht="18.75" customHeight="1">
      <c r="A549" s="37"/>
      <c r="B549" s="38"/>
      <c r="C549" s="29"/>
      <c r="D549" s="39"/>
      <c r="E549" s="29"/>
      <c r="F549" s="40"/>
      <c r="G549" s="40"/>
      <c r="H549" s="40"/>
      <c r="I549" s="29"/>
      <c r="J549" s="29"/>
      <c r="K549" s="29"/>
      <c r="L549" s="29"/>
      <c r="M549" s="29"/>
      <c r="N549" s="29"/>
      <c r="O549" s="29"/>
      <c r="P549" s="29"/>
      <c r="Q549" s="29"/>
      <c r="R549" s="29"/>
      <c r="S549" s="29"/>
      <c r="T549" s="29"/>
      <c r="U549" s="29"/>
      <c r="V549" s="29"/>
      <c r="W549" s="29"/>
      <c r="X549" s="29"/>
      <c r="Y549" s="29"/>
      <c r="Z549" s="29"/>
    </row>
    <row r="550" ht="18.75" customHeight="1">
      <c r="A550" s="37"/>
      <c r="B550" s="38"/>
      <c r="C550" s="29"/>
      <c r="D550" s="39"/>
      <c r="E550" s="29"/>
      <c r="F550" s="40"/>
      <c r="G550" s="40"/>
      <c r="H550" s="40"/>
      <c r="I550" s="29"/>
      <c r="J550" s="29"/>
      <c r="K550" s="29"/>
      <c r="L550" s="29"/>
      <c r="M550" s="29"/>
      <c r="N550" s="29"/>
      <c r="O550" s="29"/>
      <c r="P550" s="29"/>
      <c r="Q550" s="29"/>
      <c r="R550" s="29"/>
      <c r="S550" s="29"/>
      <c r="T550" s="29"/>
      <c r="U550" s="29"/>
      <c r="V550" s="29"/>
      <c r="W550" s="29"/>
      <c r="X550" s="29"/>
      <c r="Y550" s="29"/>
      <c r="Z550" s="29"/>
    </row>
    <row r="551" ht="18.75" customHeight="1">
      <c r="A551" s="37"/>
      <c r="B551" s="38"/>
      <c r="C551" s="29"/>
      <c r="D551" s="39"/>
      <c r="E551" s="29"/>
      <c r="F551" s="40"/>
      <c r="G551" s="40"/>
      <c r="H551" s="40"/>
      <c r="I551" s="29"/>
      <c r="J551" s="29"/>
      <c r="K551" s="29"/>
      <c r="L551" s="29"/>
      <c r="M551" s="29"/>
      <c r="N551" s="29"/>
      <c r="O551" s="29"/>
      <c r="P551" s="29"/>
      <c r="Q551" s="29"/>
      <c r="R551" s="29"/>
      <c r="S551" s="29"/>
      <c r="T551" s="29"/>
      <c r="U551" s="29"/>
      <c r="V551" s="29"/>
      <c r="W551" s="29"/>
      <c r="X551" s="29"/>
      <c r="Y551" s="29"/>
      <c r="Z551" s="29"/>
    </row>
    <row r="552" ht="18.75" customHeight="1">
      <c r="A552" s="37"/>
      <c r="B552" s="38"/>
      <c r="C552" s="29"/>
      <c r="D552" s="39"/>
      <c r="E552" s="29"/>
      <c r="F552" s="40"/>
      <c r="G552" s="40"/>
      <c r="H552" s="40"/>
      <c r="I552" s="29"/>
      <c r="J552" s="29"/>
      <c r="K552" s="29"/>
      <c r="L552" s="29"/>
      <c r="M552" s="29"/>
      <c r="N552" s="29"/>
      <c r="O552" s="29"/>
      <c r="P552" s="29"/>
      <c r="Q552" s="29"/>
      <c r="R552" s="29"/>
      <c r="S552" s="29"/>
      <c r="T552" s="29"/>
      <c r="U552" s="29"/>
      <c r="V552" s="29"/>
      <c r="W552" s="29"/>
      <c r="X552" s="29"/>
      <c r="Y552" s="29"/>
      <c r="Z552" s="29"/>
    </row>
    <row r="553" ht="18.75" customHeight="1">
      <c r="A553" s="37"/>
      <c r="B553" s="38"/>
      <c r="C553" s="29"/>
      <c r="D553" s="39"/>
      <c r="E553" s="29"/>
      <c r="F553" s="40"/>
      <c r="G553" s="40"/>
      <c r="H553" s="40"/>
      <c r="I553" s="29"/>
      <c r="J553" s="29"/>
      <c r="K553" s="29"/>
      <c r="L553" s="29"/>
      <c r="M553" s="29"/>
      <c r="N553" s="29"/>
      <c r="O553" s="29"/>
      <c r="P553" s="29"/>
      <c r="Q553" s="29"/>
      <c r="R553" s="29"/>
      <c r="S553" s="29"/>
      <c r="T553" s="29"/>
      <c r="U553" s="29"/>
      <c r="V553" s="29"/>
      <c r="W553" s="29"/>
      <c r="X553" s="29"/>
      <c r="Y553" s="29"/>
      <c r="Z553" s="29"/>
    </row>
    <row r="554" ht="18.75" customHeight="1">
      <c r="A554" s="37"/>
      <c r="B554" s="38"/>
      <c r="C554" s="29"/>
      <c r="D554" s="39"/>
      <c r="E554" s="29"/>
      <c r="F554" s="40"/>
      <c r="G554" s="40"/>
      <c r="H554" s="40"/>
      <c r="I554" s="29"/>
      <c r="J554" s="29"/>
      <c r="K554" s="29"/>
      <c r="L554" s="29"/>
      <c r="M554" s="29"/>
      <c r="N554" s="29"/>
      <c r="O554" s="29"/>
      <c r="P554" s="29"/>
      <c r="Q554" s="29"/>
      <c r="R554" s="29"/>
      <c r="S554" s="29"/>
      <c r="T554" s="29"/>
      <c r="U554" s="29"/>
      <c r="V554" s="29"/>
      <c r="W554" s="29"/>
      <c r="X554" s="29"/>
      <c r="Y554" s="29"/>
      <c r="Z554" s="29"/>
    </row>
    <row r="555" ht="18.75" customHeight="1">
      <c r="A555" s="37"/>
      <c r="B555" s="38"/>
      <c r="C555" s="29"/>
      <c r="D555" s="39"/>
      <c r="E555" s="29"/>
      <c r="F555" s="40"/>
      <c r="G555" s="40"/>
      <c r="H555" s="40"/>
      <c r="I555" s="29"/>
      <c r="J555" s="29"/>
      <c r="K555" s="29"/>
      <c r="L555" s="29"/>
      <c r="M555" s="29"/>
      <c r="N555" s="29"/>
      <c r="O555" s="29"/>
      <c r="P555" s="29"/>
      <c r="Q555" s="29"/>
      <c r="R555" s="29"/>
      <c r="S555" s="29"/>
      <c r="T555" s="29"/>
      <c r="U555" s="29"/>
      <c r="V555" s="29"/>
      <c r="W555" s="29"/>
      <c r="X555" s="29"/>
      <c r="Y555" s="29"/>
      <c r="Z555" s="29"/>
    </row>
    <row r="556" ht="18.75" customHeight="1">
      <c r="A556" s="37"/>
      <c r="B556" s="38"/>
      <c r="C556" s="29"/>
      <c r="D556" s="39"/>
      <c r="E556" s="29"/>
      <c r="F556" s="40"/>
      <c r="G556" s="40"/>
      <c r="H556" s="40"/>
      <c r="I556" s="29"/>
      <c r="J556" s="29"/>
      <c r="K556" s="29"/>
      <c r="L556" s="29"/>
      <c r="M556" s="29"/>
      <c r="N556" s="29"/>
      <c r="O556" s="29"/>
      <c r="P556" s="29"/>
      <c r="Q556" s="29"/>
      <c r="R556" s="29"/>
      <c r="S556" s="29"/>
      <c r="T556" s="29"/>
      <c r="U556" s="29"/>
      <c r="V556" s="29"/>
      <c r="W556" s="29"/>
      <c r="X556" s="29"/>
      <c r="Y556" s="29"/>
      <c r="Z556" s="29"/>
    </row>
    <row r="557" ht="18.75" customHeight="1">
      <c r="A557" s="37"/>
      <c r="B557" s="38"/>
      <c r="C557" s="29"/>
      <c r="D557" s="39"/>
      <c r="E557" s="29"/>
      <c r="F557" s="40"/>
      <c r="G557" s="40"/>
      <c r="H557" s="40"/>
      <c r="I557" s="29"/>
      <c r="J557" s="29"/>
      <c r="K557" s="29"/>
      <c r="L557" s="29"/>
      <c r="M557" s="29"/>
      <c r="N557" s="29"/>
      <c r="O557" s="29"/>
      <c r="P557" s="29"/>
      <c r="Q557" s="29"/>
      <c r="R557" s="29"/>
      <c r="S557" s="29"/>
      <c r="T557" s="29"/>
      <c r="U557" s="29"/>
      <c r="V557" s="29"/>
      <c r="W557" s="29"/>
      <c r="X557" s="29"/>
      <c r="Y557" s="29"/>
      <c r="Z557" s="29"/>
    </row>
    <row r="558" ht="18.75" customHeight="1">
      <c r="A558" s="37"/>
      <c r="B558" s="38"/>
      <c r="C558" s="29"/>
      <c r="D558" s="39"/>
      <c r="E558" s="29"/>
      <c r="F558" s="40"/>
      <c r="G558" s="40"/>
      <c r="H558" s="40"/>
      <c r="I558" s="29"/>
      <c r="J558" s="29"/>
      <c r="K558" s="29"/>
      <c r="L558" s="29"/>
      <c r="M558" s="29"/>
      <c r="N558" s="29"/>
      <c r="O558" s="29"/>
      <c r="P558" s="29"/>
      <c r="Q558" s="29"/>
      <c r="R558" s="29"/>
      <c r="S558" s="29"/>
      <c r="T558" s="29"/>
      <c r="U558" s="29"/>
      <c r="V558" s="29"/>
      <c r="W558" s="29"/>
      <c r="X558" s="29"/>
      <c r="Y558" s="29"/>
      <c r="Z558" s="29"/>
    </row>
    <row r="559" ht="18.75" customHeight="1">
      <c r="A559" s="37"/>
      <c r="B559" s="38"/>
      <c r="C559" s="29"/>
      <c r="D559" s="39"/>
      <c r="E559" s="29"/>
      <c r="F559" s="40"/>
      <c r="G559" s="40"/>
      <c r="H559" s="40"/>
      <c r="I559" s="29"/>
      <c r="J559" s="29"/>
      <c r="K559" s="29"/>
      <c r="L559" s="29"/>
      <c r="M559" s="29"/>
      <c r="N559" s="29"/>
      <c r="O559" s="29"/>
      <c r="P559" s="29"/>
      <c r="Q559" s="29"/>
      <c r="R559" s="29"/>
      <c r="S559" s="29"/>
      <c r="T559" s="29"/>
      <c r="U559" s="29"/>
      <c r="V559" s="29"/>
      <c r="W559" s="29"/>
      <c r="X559" s="29"/>
      <c r="Y559" s="29"/>
      <c r="Z559" s="29"/>
    </row>
    <row r="560" ht="18.75" customHeight="1">
      <c r="A560" s="37"/>
      <c r="B560" s="38"/>
      <c r="C560" s="29"/>
      <c r="D560" s="39"/>
      <c r="E560" s="29"/>
      <c r="F560" s="40"/>
      <c r="G560" s="40"/>
      <c r="H560" s="40"/>
      <c r="I560" s="29"/>
      <c r="J560" s="29"/>
      <c r="K560" s="29"/>
      <c r="L560" s="29"/>
      <c r="M560" s="29"/>
      <c r="N560" s="29"/>
      <c r="O560" s="29"/>
      <c r="P560" s="29"/>
      <c r="Q560" s="29"/>
      <c r="R560" s="29"/>
      <c r="S560" s="29"/>
      <c r="T560" s="29"/>
      <c r="U560" s="29"/>
      <c r="V560" s="29"/>
      <c r="W560" s="29"/>
      <c r="X560" s="29"/>
      <c r="Y560" s="29"/>
      <c r="Z560" s="29"/>
    </row>
    <row r="561" ht="18.75" customHeight="1">
      <c r="A561" s="37"/>
      <c r="B561" s="38"/>
      <c r="C561" s="29"/>
      <c r="D561" s="39"/>
      <c r="E561" s="29"/>
      <c r="F561" s="40"/>
      <c r="G561" s="40"/>
      <c r="H561" s="40"/>
      <c r="I561" s="29"/>
      <c r="J561" s="29"/>
      <c r="K561" s="29"/>
      <c r="L561" s="29"/>
      <c r="M561" s="29"/>
      <c r="N561" s="29"/>
      <c r="O561" s="29"/>
      <c r="P561" s="29"/>
      <c r="Q561" s="29"/>
      <c r="R561" s="29"/>
      <c r="S561" s="29"/>
      <c r="T561" s="29"/>
      <c r="U561" s="29"/>
      <c r="V561" s="29"/>
      <c r="W561" s="29"/>
      <c r="X561" s="29"/>
      <c r="Y561" s="29"/>
      <c r="Z561" s="29"/>
    </row>
    <row r="562" ht="18.75" customHeight="1">
      <c r="A562" s="37"/>
      <c r="B562" s="38"/>
      <c r="C562" s="29"/>
      <c r="D562" s="39"/>
      <c r="E562" s="29"/>
      <c r="F562" s="40"/>
      <c r="G562" s="40"/>
      <c r="H562" s="40"/>
      <c r="I562" s="29"/>
      <c r="J562" s="29"/>
      <c r="K562" s="29"/>
      <c r="L562" s="29"/>
      <c r="M562" s="29"/>
      <c r="N562" s="29"/>
      <c r="O562" s="29"/>
      <c r="P562" s="29"/>
      <c r="Q562" s="29"/>
      <c r="R562" s="29"/>
      <c r="S562" s="29"/>
      <c r="T562" s="29"/>
      <c r="U562" s="29"/>
      <c r="V562" s="29"/>
      <c r="W562" s="29"/>
      <c r="X562" s="29"/>
      <c r="Y562" s="29"/>
      <c r="Z562" s="29"/>
    </row>
    <row r="563" ht="18.75" customHeight="1">
      <c r="A563" s="37"/>
      <c r="B563" s="38"/>
      <c r="C563" s="29"/>
      <c r="D563" s="39"/>
      <c r="E563" s="29"/>
      <c r="F563" s="40"/>
      <c r="G563" s="40"/>
      <c r="H563" s="40"/>
      <c r="I563" s="29"/>
      <c r="J563" s="29"/>
      <c r="K563" s="29"/>
      <c r="L563" s="29"/>
      <c r="M563" s="29"/>
      <c r="N563" s="29"/>
      <c r="O563" s="29"/>
      <c r="P563" s="29"/>
      <c r="Q563" s="29"/>
      <c r="R563" s="29"/>
      <c r="S563" s="29"/>
      <c r="T563" s="29"/>
      <c r="U563" s="29"/>
      <c r="V563" s="29"/>
      <c r="W563" s="29"/>
      <c r="X563" s="29"/>
      <c r="Y563" s="29"/>
      <c r="Z563" s="29"/>
    </row>
    <row r="564" ht="18.75" customHeight="1">
      <c r="A564" s="37"/>
      <c r="B564" s="38"/>
      <c r="C564" s="29"/>
      <c r="D564" s="39"/>
      <c r="E564" s="29"/>
      <c r="F564" s="40"/>
      <c r="G564" s="40"/>
      <c r="H564" s="40"/>
      <c r="I564" s="29"/>
      <c r="J564" s="29"/>
      <c r="K564" s="29"/>
      <c r="L564" s="29"/>
      <c r="M564" s="29"/>
      <c r="N564" s="29"/>
      <c r="O564" s="29"/>
      <c r="P564" s="29"/>
      <c r="Q564" s="29"/>
      <c r="R564" s="29"/>
      <c r="S564" s="29"/>
      <c r="T564" s="29"/>
      <c r="U564" s="29"/>
      <c r="V564" s="29"/>
      <c r="W564" s="29"/>
      <c r="X564" s="29"/>
      <c r="Y564" s="29"/>
      <c r="Z564" s="29"/>
    </row>
    <row r="565" ht="18.75" customHeight="1">
      <c r="A565" s="37"/>
      <c r="B565" s="38"/>
      <c r="C565" s="29"/>
      <c r="D565" s="39"/>
      <c r="E565" s="29"/>
      <c r="F565" s="40"/>
      <c r="G565" s="40"/>
      <c r="H565" s="40"/>
      <c r="I565" s="29"/>
      <c r="J565" s="29"/>
      <c r="K565" s="29"/>
      <c r="L565" s="29"/>
      <c r="M565" s="29"/>
      <c r="N565" s="29"/>
      <c r="O565" s="29"/>
      <c r="P565" s="29"/>
      <c r="Q565" s="29"/>
      <c r="R565" s="29"/>
      <c r="S565" s="29"/>
      <c r="T565" s="29"/>
      <c r="U565" s="29"/>
      <c r="V565" s="29"/>
      <c r="W565" s="29"/>
      <c r="X565" s="29"/>
      <c r="Y565" s="29"/>
      <c r="Z565" s="29"/>
    </row>
    <row r="566" ht="18.75" customHeight="1">
      <c r="A566" s="37"/>
      <c r="B566" s="38"/>
      <c r="C566" s="29"/>
      <c r="D566" s="39"/>
      <c r="E566" s="29"/>
      <c r="F566" s="40"/>
      <c r="G566" s="40"/>
      <c r="H566" s="40"/>
      <c r="I566" s="29"/>
      <c r="J566" s="29"/>
      <c r="K566" s="29"/>
      <c r="L566" s="29"/>
      <c r="M566" s="29"/>
      <c r="N566" s="29"/>
      <c r="O566" s="29"/>
      <c r="P566" s="29"/>
      <c r="Q566" s="29"/>
      <c r="R566" s="29"/>
      <c r="S566" s="29"/>
      <c r="T566" s="29"/>
      <c r="U566" s="29"/>
      <c r="V566" s="29"/>
      <c r="W566" s="29"/>
      <c r="X566" s="29"/>
      <c r="Y566" s="29"/>
      <c r="Z566" s="29"/>
    </row>
    <row r="567" ht="18.75" customHeight="1">
      <c r="A567" s="37"/>
      <c r="B567" s="38"/>
      <c r="C567" s="29"/>
      <c r="D567" s="39"/>
      <c r="E567" s="29"/>
      <c r="F567" s="40"/>
      <c r="G567" s="40"/>
      <c r="H567" s="40"/>
      <c r="I567" s="29"/>
      <c r="J567" s="29"/>
      <c r="K567" s="29"/>
      <c r="L567" s="29"/>
      <c r="M567" s="29"/>
      <c r="N567" s="29"/>
      <c r="O567" s="29"/>
      <c r="P567" s="29"/>
      <c r="Q567" s="29"/>
      <c r="R567" s="29"/>
      <c r="S567" s="29"/>
      <c r="T567" s="29"/>
      <c r="U567" s="29"/>
      <c r="V567" s="29"/>
      <c r="W567" s="29"/>
      <c r="X567" s="29"/>
      <c r="Y567" s="29"/>
      <c r="Z567" s="29"/>
    </row>
    <row r="568" ht="18.75" customHeight="1">
      <c r="A568" s="37"/>
      <c r="B568" s="38"/>
      <c r="C568" s="29"/>
      <c r="D568" s="39"/>
      <c r="E568" s="29"/>
      <c r="F568" s="40"/>
      <c r="G568" s="40"/>
      <c r="H568" s="40"/>
      <c r="I568" s="29"/>
      <c r="J568" s="29"/>
      <c r="K568" s="29"/>
      <c r="L568" s="29"/>
      <c r="M568" s="29"/>
      <c r="N568" s="29"/>
      <c r="O568" s="29"/>
      <c r="P568" s="29"/>
      <c r="Q568" s="29"/>
      <c r="R568" s="29"/>
      <c r="S568" s="29"/>
      <c r="T568" s="29"/>
      <c r="U568" s="29"/>
      <c r="V568" s="29"/>
      <c r="W568" s="29"/>
      <c r="X568" s="29"/>
      <c r="Y568" s="29"/>
      <c r="Z568" s="29"/>
    </row>
    <row r="569" ht="18.75" customHeight="1">
      <c r="A569" s="37"/>
      <c r="B569" s="38"/>
      <c r="C569" s="29"/>
      <c r="D569" s="39"/>
      <c r="E569" s="29"/>
      <c r="F569" s="40"/>
      <c r="G569" s="40"/>
      <c r="H569" s="40"/>
      <c r="I569" s="29"/>
      <c r="J569" s="29"/>
      <c r="K569" s="29"/>
      <c r="L569" s="29"/>
      <c r="M569" s="29"/>
      <c r="N569" s="29"/>
      <c r="O569" s="29"/>
      <c r="P569" s="29"/>
      <c r="Q569" s="29"/>
      <c r="R569" s="29"/>
      <c r="S569" s="29"/>
      <c r="T569" s="29"/>
      <c r="U569" s="29"/>
      <c r="V569" s="29"/>
      <c r="W569" s="29"/>
      <c r="X569" s="29"/>
      <c r="Y569" s="29"/>
      <c r="Z569" s="29"/>
    </row>
    <row r="570" ht="18.75" customHeight="1">
      <c r="A570" s="37"/>
      <c r="B570" s="38"/>
      <c r="C570" s="29"/>
      <c r="D570" s="39"/>
      <c r="E570" s="29"/>
      <c r="F570" s="40"/>
      <c r="G570" s="40"/>
      <c r="H570" s="40"/>
      <c r="I570" s="29"/>
      <c r="J570" s="29"/>
      <c r="K570" s="29"/>
      <c r="L570" s="29"/>
      <c r="M570" s="29"/>
      <c r="N570" s="29"/>
      <c r="O570" s="29"/>
      <c r="P570" s="29"/>
      <c r="Q570" s="29"/>
      <c r="R570" s="29"/>
      <c r="S570" s="29"/>
      <c r="T570" s="29"/>
      <c r="U570" s="29"/>
      <c r="V570" s="29"/>
      <c r="W570" s="29"/>
      <c r="X570" s="29"/>
      <c r="Y570" s="29"/>
      <c r="Z570" s="29"/>
    </row>
    <row r="571" ht="18.75" customHeight="1">
      <c r="A571" s="37"/>
      <c r="B571" s="38"/>
      <c r="C571" s="29"/>
      <c r="D571" s="39"/>
      <c r="E571" s="29"/>
      <c r="F571" s="40"/>
      <c r="G571" s="40"/>
      <c r="H571" s="40"/>
      <c r="I571" s="29"/>
      <c r="J571" s="29"/>
      <c r="K571" s="29"/>
      <c r="L571" s="29"/>
      <c r="M571" s="29"/>
      <c r="N571" s="29"/>
      <c r="O571" s="29"/>
      <c r="P571" s="29"/>
      <c r="Q571" s="29"/>
      <c r="R571" s="29"/>
      <c r="S571" s="29"/>
      <c r="T571" s="29"/>
      <c r="U571" s="29"/>
      <c r="V571" s="29"/>
      <c r="W571" s="29"/>
      <c r="X571" s="29"/>
      <c r="Y571" s="29"/>
      <c r="Z571" s="29"/>
    </row>
    <row r="572" ht="18.75" customHeight="1">
      <c r="A572" s="37"/>
      <c r="B572" s="38"/>
      <c r="C572" s="29"/>
      <c r="D572" s="39"/>
      <c r="E572" s="29"/>
      <c r="F572" s="40"/>
      <c r="G572" s="40"/>
      <c r="H572" s="40"/>
      <c r="I572" s="29"/>
      <c r="J572" s="29"/>
      <c r="K572" s="29"/>
      <c r="L572" s="29"/>
      <c r="M572" s="29"/>
      <c r="N572" s="29"/>
      <c r="O572" s="29"/>
      <c r="P572" s="29"/>
      <c r="Q572" s="29"/>
      <c r="R572" s="29"/>
      <c r="S572" s="29"/>
      <c r="T572" s="29"/>
      <c r="U572" s="29"/>
      <c r="V572" s="29"/>
      <c r="W572" s="29"/>
      <c r="X572" s="29"/>
      <c r="Y572" s="29"/>
      <c r="Z572" s="29"/>
    </row>
    <row r="573" ht="18.75" customHeight="1">
      <c r="A573" s="37"/>
      <c r="B573" s="38"/>
      <c r="C573" s="29"/>
      <c r="D573" s="39"/>
      <c r="E573" s="29"/>
      <c r="F573" s="40"/>
      <c r="G573" s="40"/>
      <c r="H573" s="40"/>
      <c r="I573" s="29"/>
      <c r="J573" s="29"/>
      <c r="K573" s="29"/>
      <c r="L573" s="29"/>
      <c r="M573" s="29"/>
      <c r="N573" s="29"/>
      <c r="O573" s="29"/>
      <c r="P573" s="29"/>
      <c r="Q573" s="29"/>
      <c r="R573" s="29"/>
      <c r="S573" s="29"/>
      <c r="T573" s="29"/>
      <c r="U573" s="29"/>
      <c r="V573" s="29"/>
      <c r="W573" s="29"/>
      <c r="X573" s="29"/>
      <c r="Y573" s="29"/>
      <c r="Z573" s="29"/>
    </row>
    <row r="574" ht="18.75" customHeight="1">
      <c r="A574" s="37"/>
      <c r="B574" s="38"/>
      <c r="C574" s="29"/>
      <c r="D574" s="39"/>
      <c r="E574" s="29"/>
      <c r="F574" s="40"/>
      <c r="G574" s="40"/>
      <c r="H574" s="40"/>
      <c r="I574" s="29"/>
      <c r="J574" s="29"/>
      <c r="K574" s="29"/>
      <c r="L574" s="29"/>
      <c r="M574" s="29"/>
      <c r="N574" s="29"/>
      <c r="O574" s="29"/>
      <c r="P574" s="29"/>
      <c r="Q574" s="29"/>
      <c r="R574" s="29"/>
      <c r="S574" s="29"/>
      <c r="T574" s="29"/>
      <c r="U574" s="29"/>
      <c r="V574" s="29"/>
      <c r="W574" s="29"/>
      <c r="X574" s="29"/>
      <c r="Y574" s="29"/>
      <c r="Z574" s="29"/>
    </row>
    <row r="575" ht="18.75" customHeight="1">
      <c r="A575" s="37"/>
      <c r="B575" s="38"/>
      <c r="C575" s="29"/>
      <c r="D575" s="39"/>
      <c r="E575" s="29"/>
      <c r="F575" s="40"/>
      <c r="G575" s="40"/>
      <c r="H575" s="40"/>
      <c r="I575" s="29"/>
      <c r="J575" s="29"/>
      <c r="K575" s="29"/>
      <c r="L575" s="29"/>
      <c r="M575" s="29"/>
      <c r="N575" s="29"/>
      <c r="O575" s="29"/>
      <c r="P575" s="29"/>
      <c r="Q575" s="29"/>
      <c r="R575" s="29"/>
      <c r="S575" s="29"/>
      <c r="T575" s="29"/>
      <c r="U575" s="29"/>
      <c r="V575" s="29"/>
      <c r="W575" s="29"/>
      <c r="X575" s="29"/>
      <c r="Y575" s="29"/>
      <c r="Z575" s="29"/>
    </row>
    <row r="576" ht="18.75" customHeight="1">
      <c r="A576" s="37"/>
      <c r="B576" s="38"/>
      <c r="C576" s="29"/>
      <c r="D576" s="39"/>
      <c r="E576" s="29"/>
      <c r="F576" s="40"/>
      <c r="G576" s="40"/>
      <c r="H576" s="40"/>
      <c r="I576" s="29"/>
      <c r="J576" s="29"/>
      <c r="K576" s="29"/>
      <c r="L576" s="29"/>
      <c r="M576" s="29"/>
      <c r="N576" s="29"/>
      <c r="O576" s="29"/>
      <c r="P576" s="29"/>
      <c r="Q576" s="29"/>
      <c r="R576" s="29"/>
      <c r="S576" s="29"/>
      <c r="T576" s="29"/>
      <c r="U576" s="29"/>
      <c r="V576" s="29"/>
      <c r="W576" s="29"/>
      <c r="X576" s="29"/>
      <c r="Y576" s="29"/>
      <c r="Z576" s="29"/>
    </row>
    <row r="577" ht="18.75" customHeight="1">
      <c r="A577" s="37"/>
      <c r="B577" s="38"/>
      <c r="C577" s="29"/>
      <c r="D577" s="39"/>
      <c r="E577" s="29"/>
      <c r="F577" s="40"/>
      <c r="G577" s="40"/>
      <c r="H577" s="40"/>
      <c r="I577" s="29"/>
      <c r="J577" s="29"/>
      <c r="K577" s="29"/>
      <c r="L577" s="29"/>
      <c r="M577" s="29"/>
      <c r="N577" s="29"/>
      <c r="O577" s="29"/>
      <c r="P577" s="29"/>
      <c r="Q577" s="29"/>
      <c r="R577" s="29"/>
      <c r="S577" s="29"/>
      <c r="T577" s="29"/>
      <c r="U577" s="29"/>
      <c r="V577" s="29"/>
      <c r="W577" s="29"/>
      <c r="X577" s="29"/>
      <c r="Y577" s="29"/>
      <c r="Z577" s="29"/>
    </row>
    <row r="578" ht="18.75" customHeight="1">
      <c r="A578" s="37"/>
      <c r="B578" s="38"/>
      <c r="C578" s="29"/>
      <c r="D578" s="39"/>
      <c r="E578" s="29"/>
      <c r="F578" s="40"/>
      <c r="G578" s="40"/>
      <c r="H578" s="40"/>
      <c r="I578" s="29"/>
      <c r="J578" s="29"/>
      <c r="K578" s="29"/>
      <c r="L578" s="29"/>
      <c r="M578" s="29"/>
      <c r="N578" s="29"/>
      <c r="O578" s="29"/>
      <c r="P578" s="29"/>
      <c r="Q578" s="29"/>
      <c r="R578" s="29"/>
      <c r="S578" s="29"/>
      <c r="T578" s="29"/>
      <c r="U578" s="29"/>
      <c r="V578" s="29"/>
      <c r="W578" s="29"/>
      <c r="X578" s="29"/>
      <c r="Y578" s="29"/>
      <c r="Z578" s="29"/>
    </row>
    <row r="579" ht="18.75" customHeight="1">
      <c r="A579" s="37"/>
      <c r="B579" s="38"/>
      <c r="C579" s="29"/>
      <c r="D579" s="39"/>
      <c r="E579" s="29"/>
      <c r="F579" s="40"/>
      <c r="G579" s="40"/>
      <c r="H579" s="40"/>
      <c r="I579" s="29"/>
      <c r="J579" s="29"/>
      <c r="K579" s="29"/>
      <c r="L579" s="29"/>
      <c r="M579" s="29"/>
      <c r="N579" s="29"/>
      <c r="O579" s="29"/>
      <c r="P579" s="29"/>
      <c r="Q579" s="29"/>
      <c r="R579" s="29"/>
      <c r="S579" s="29"/>
      <c r="T579" s="29"/>
      <c r="U579" s="29"/>
      <c r="V579" s="29"/>
      <c r="W579" s="29"/>
      <c r="X579" s="29"/>
      <c r="Y579" s="29"/>
      <c r="Z579" s="29"/>
    </row>
    <row r="580" ht="18.75" customHeight="1">
      <c r="A580" s="37"/>
      <c r="B580" s="38"/>
      <c r="C580" s="29"/>
      <c r="D580" s="39"/>
      <c r="E580" s="29"/>
      <c r="F580" s="40"/>
      <c r="G580" s="40"/>
      <c r="H580" s="40"/>
      <c r="I580" s="29"/>
      <c r="J580" s="29"/>
      <c r="K580" s="29"/>
      <c r="L580" s="29"/>
      <c r="M580" s="29"/>
      <c r="N580" s="29"/>
      <c r="O580" s="29"/>
      <c r="P580" s="29"/>
      <c r="Q580" s="29"/>
      <c r="R580" s="29"/>
      <c r="S580" s="29"/>
      <c r="T580" s="29"/>
      <c r="U580" s="29"/>
      <c r="V580" s="29"/>
      <c r="W580" s="29"/>
      <c r="X580" s="29"/>
      <c r="Y580" s="29"/>
      <c r="Z580" s="29"/>
    </row>
    <row r="581" ht="18.75" customHeight="1">
      <c r="A581" s="37"/>
      <c r="B581" s="38"/>
      <c r="C581" s="29"/>
      <c r="D581" s="39"/>
      <c r="E581" s="29"/>
      <c r="F581" s="40"/>
      <c r="G581" s="40"/>
      <c r="H581" s="40"/>
      <c r="I581" s="29"/>
      <c r="J581" s="29"/>
      <c r="K581" s="29"/>
      <c r="L581" s="29"/>
      <c r="M581" s="29"/>
      <c r="N581" s="29"/>
      <c r="O581" s="29"/>
      <c r="P581" s="29"/>
      <c r="Q581" s="29"/>
      <c r="R581" s="29"/>
      <c r="S581" s="29"/>
      <c r="T581" s="29"/>
      <c r="U581" s="29"/>
      <c r="V581" s="29"/>
      <c r="W581" s="29"/>
      <c r="X581" s="29"/>
      <c r="Y581" s="29"/>
      <c r="Z581" s="29"/>
    </row>
    <row r="582" ht="18.75" customHeight="1">
      <c r="A582" s="37"/>
      <c r="B582" s="38"/>
      <c r="C582" s="29"/>
      <c r="D582" s="39"/>
      <c r="E582" s="29"/>
      <c r="F582" s="40"/>
      <c r="G582" s="40"/>
      <c r="H582" s="40"/>
      <c r="I582" s="29"/>
      <c r="J582" s="29"/>
      <c r="K582" s="29"/>
      <c r="L582" s="29"/>
      <c r="M582" s="29"/>
      <c r="N582" s="29"/>
      <c r="O582" s="29"/>
      <c r="P582" s="29"/>
      <c r="Q582" s="29"/>
      <c r="R582" s="29"/>
      <c r="S582" s="29"/>
      <c r="T582" s="29"/>
      <c r="U582" s="29"/>
      <c r="V582" s="29"/>
      <c r="W582" s="29"/>
      <c r="X582" s="29"/>
      <c r="Y582" s="29"/>
      <c r="Z582" s="29"/>
    </row>
    <row r="583" ht="18.75" customHeight="1">
      <c r="A583" s="37"/>
      <c r="B583" s="38"/>
      <c r="C583" s="29"/>
      <c r="D583" s="39"/>
      <c r="E583" s="29"/>
      <c r="F583" s="40"/>
      <c r="G583" s="40"/>
      <c r="H583" s="40"/>
      <c r="I583" s="29"/>
      <c r="J583" s="29"/>
      <c r="K583" s="29"/>
      <c r="L583" s="29"/>
      <c r="M583" s="29"/>
      <c r="N583" s="29"/>
      <c r="O583" s="29"/>
      <c r="P583" s="29"/>
      <c r="Q583" s="29"/>
      <c r="R583" s="29"/>
      <c r="S583" s="29"/>
      <c r="T583" s="29"/>
      <c r="U583" s="29"/>
      <c r="V583" s="29"/>
      <c r="W583" s="29"/>
      <c r="X583" s="29"/>
      <c r="Y583" s="29"/>
      <c r="Z583" s="29"/>
    </row>
    <row r="584" ht="18.75" customHeight="1">
      <c r="A584" s="37"/>
      <c r="B584" s="38"/>
      <c r="C584" s="29"/>
      <c r="D584" s="39"/>
      <c r="E584" s="29"/>
      <c r="F584" s="40"/>
      <c r="G584" s="40"/>
      <c r="H584" s="40"/>
      <c r="I584" s="29"/>
      <c r="J584" s="29"/>
      <c r="K584" s="29"/>
      <c r="L584" s="29"/>
      <c r="M584" s="29"/>
      <c r="N584" s="29"/>
      <c r="O584" s="29"/>
      <c r="P584" s="29"/>
      <c r="Q584" s="29"/>
      <c r="R584" s="29"/>
      <c r="S584" s="29"/>
      <c r="T584" s="29"/>
      <c r="U584" s="29"/>
      <c r="V584" s="29"/>
      <c r="W584" s="29"/>
      <c r="X584" s="29"/>
      <c r="Y584" s="29"/>
      <c r="Z584" s="29"/>
    </row>
    <row r="585" ht="18.75" customHeight="1">
      <c r="A585" s="37"/>
      <c r="B585" s="38"/>
      <c r="C585" s="29"/>
      <c r="D585" s="39"/>
      <c r="E585" s="29"/>
      <c r="F585" s="40"/>
      <c r="G585" s="40"/>
      <c r="H585" s="40"/>
      <c r="I585" s="29"/>
      <c r="J585" s="29"/>
      <c r="K585" s="29"/>
      <c r="L585" s="29"/>
      <c r="M585" s="29"/>
      <c r="N585" s="29"/>
      <c r="O585" s="29"/>
      <c r="P585" s="29"/>
      <c r="Q585" s="29"/>
      <c r="R585" s="29"/>
      <c r="S585" s="29"/>
      <c r="T585" s="29"/>
      <c r="U585" s="29"/>
      <c r="V585" s="29"/>
      <c r="W585" s="29"/>
      <c r="X585" s="29"/>
      <c r="Y585" s="29"/>
      <c r="Z585" s="29"/>
    </row>
    <row r="586" ht="18.75" customHeight="1">
      <c r="A586" s="37"/>
      <c r="B586" s="38"/>
      <c r="C586" s="29"/>
      <c r="D586" s="39"/>
      <c r="E586" s="29"/>
      <c r="F586" s="40"/>
      <c r="G586" s="40"/>
      <c r="H586" s="40"/>
      <c r="I586" s="29"/>
      <c r="J586" s="29"/>
      <c r="K586" s="29"/>
      <c r="L586" s="29"/>
      <c r="M586" s="29"/>
      <c r="N586" s="29"/>
      <c r="O586" s="29"/>
      <c r="P586" s="29"/>
      <c r="Q586" s="29"/>
      <c r="R586" s="29"/>
      <c r="S586" s="29"/>
      <c r="T586" s="29"/>
      <c r="U586" s="29"/>
      <c r="V586" s="29"/>
      <c r="W586" s="29"/>
      <c r="X586" s="29"/>
      <c r="Y586" s="29"/>
      <c r="Z586" s="29"/>
    </row>
    <row r="587" ht="18.75" customHeight="1">
      <c r="A587" s="37"/>
      <c r="B587" s="38"/>
      <c r="C587" s="29"/>
      <c r="D587" s="39"/>
      <c r="E587" s="29"/>
      <c r="F587" s="40"/>
      <c r="G587" s="40"/>
      <c r="H587" s="40"/>
      <c r="I587" s="29"/>
      <c r="J587" s="29"/>
      <c r="K587" s="29"/>
      <c r="L587" s="29"/>
      <c r="M587" s="29"/>
      <c r="N587" s="29"/>
      <c r="O587" s="29"/>
      <c r="P587" s="29"/>
      <c r="Q587" s="29"/>
      <c r="R587" s="29"/>
      <c r="S587" s="29"/>
      <c r="T587" s="29"/>
      <c r="U587" s="29"/>
      <c r="V587" s="29"/>
      <c r="W587" s="29"/>
      <c r="X587" s="29"/>
      <c r="Y587" s="29"/>
      <c r="Z587" s="29"/>
    </row>
    <row r="588" ht="18.75" customHeight="1">
      <c r="A588" s="37"/>
      <c r="B588" s="38"/>
      <c r="C588" s="29"/>
      <c r="D588" s="39"/>
      <c r="E588" s="29"/>
      <c r="F588" s="40"/>
      <c r="G588" s="40"/>
      <c r="H588" s="40"/>
      <c r="I588" s="29"/>
      <c r="J588" s="29"/>
      <c r="K588" s="29"/>
      <c r="L588" s="29"/>
      <c r="M588" s="29"/>
      <c r="N588" s="29"/>
      <c r="O588" s="29"/>
      <c r="P588" s="29"/>
      <c r="Q588" s="29"/>
      <c r="R588" s="29"/>
      <c r="S588" s="29"/>
      <c r="T588" s="29"/>
      <c r="U588" s="29"/>
      <c r="V588" s="29"/>
      <c r="W588" s="29"/>
      <c r="X588" s="29"/>
      <c r="Y588" s="29"/>
      <c r="Z588" s="29"/>
    </row>
    <row r="589" ht="18.75" customHeight="1">
      <c r="A589" s="37"/>
      <c r="B589" s="38"/>
      <c r="C589" s="29"/>
      <c r="D589" s="39"/>
      <c r="E589" s="29"/>
      <c r="F589" s="40"/>
      <c r="G589" s="40"/>
      <c r="H589" s="40"/>
      <c r="I589" s="29"/>
      <c r="J589" s="29"/>
      <c r="K589" s="29"/>
      <c r="L589" s="29"/>
      <c r="M589" s="29"/>
      <c r="N589" s="29"/>
      <c r="O589" s="29"/>
      <c r="P589" s="29"/>
      <c r="Q589" s="29"/>
      <c r="R589" s="29"/>
      <c r="S589" s="29"/>
      <c r="T589" s="29"/>
      <c r="U589" s="29"/>
      <c r="V589" s="29"/>
      <c r="W589" s="29"/>
      <c r="X589" s="29"/>
      <c r="Y589" s="29"/>
      <c r="Z589" s="29"/>
    </row>
    <row r="590" ht="18.75" customHeight="1">
      <c r="A590" s="37"/>
      <c r="B590" s="38"/>
      <c r="C590" s="29"/>
      <c r="D590" s="39"/>
      <c r="E590" s="29"/>
      <c r="F590" s="40"/>
      <c r="G590" s="40"/>
      <c r="H590" s="40"/>
      <c r="I590" s="29"/>
      <c r="J590" s="29"/>
      <c r="K590" s="29"/>
      <c r="L590" s="29"/>
      <c r="M590" s="29"/>
      <c r="N590" s="29"/>
      <c r="O590" s="29"/>
      <c r="P590" s="29"/>
      <c r="Q590" s="29"/>
      <c r="R590" s="29"/>
      <c r="S590" s="29"/>
      <c r="T590" s="29"/>
      <c r="U590" s="29"/>
      <c r="V590" s="29"/>
      <c r="W590" s="29"/>
      <c r="X590" s="29"/>
      <c r="Y590" s="29"/>
      <c r="Z590" s="29"/>
    </row>
    <row r="591" ht="18.75" customHeight="1">
      <c r="A591" s="37"/>
      <c r="B591" s="38"/>
      <c r="C591" s="29"/>
      <c r="D591" s="39"/>
      <c r="E591" s="29"/>
      <c r="F591" s="40"/>
      <c r="G591" s="40"/>
      <c r="H591" s="40"/>
      <c r="I591" s="29"/>
      <c r="J591" s="29"/>
      <c r="K591" s="29"/>
      <c r="L591" s="29"/>
      <c r="M591" s="29"/>
      <c r="N591" s="29"/>
      <c r="O591" s="29"/>
      <c r="P591" s="29"/>
      <c r="Q591" s="29"/>
      <c r="R591" s="29"/>
      <c r="S591" s="29"/>
      <c r="T591" s="29"/>
      <c r="U591" s="29"/>
      <c r="V591" s="29"/>
      <c r="W591" s="29"/>
      <c r="X591" s="29"/>
      <c r="Y591" s="29"/>
      <c r="Z591" s="29"/>
    </row>
    <row r="592" ht="18.75" customHeight="1">
      <c r="A592" s="37"/>
      <c r="B592" s="38"/>
      <c r="C592" s="29"/>
      <c r="D592" s="39"/>
      <c r="E592" s="29"/>
      <c r="F592" s="40"/>
      <c r="G592" s="40"/>
      <c r="H592" s="40"/>
      <c r="I592" s="29"/>
      <c r="J592" s="29"/>
      <c r="K592" s="29"/>
      <c r="L592" s="29"/>
      <c r="M592" s="29"/>
      <c r="N592" s="29"/>
      <c r="O592" s="29"/>
      <c r="P592" s="29"/>
      <c r="Q592" s="29"/>
      <c r="R592" s="29"/>
      <c r="S592" s="29"/>
      <c r="T592" s="29"/>
      <c r="U592" s="29"/>
      <c r="V592" s="29"/>
      <c r="W592" s="29"/>
      <c r="X592" s="29"/>
      <c r="Y592" s="29"/>
      <c r="Z592" s="29"/>
    </row>
    <row r="593" ht="18.75" customHeight="1">
      <c r="A593" s="37"/>
      <c r="B593" s="38"/>
      <c r="C593" s="29"/>
      <c r="D593" s="39"/>
      <c r="E593" s="29"/>
      <c r="F593" s="40"/>
      <c r="G593" s="40"/>
      <c r="H593" s="40"/>
      <c r="I593" s="29"/>
      <c r="J593" s="29"/>
      <c r="K593" s="29"/>
      <c r="L593" s="29"/>
      <c r="M593" s="29"/>
      <c r="N593" s="29"/>
      <c r="O593" s="29"/>
      <c r="P593" s="29"/>
      <c r="Q593" s="29"/>
      <c r="R593" s="29"/>
      <c r="S593" s="29"/>
      <c r="T593" s="29"/>
      <c r="U593" s="29"/>
      <c r="V593" s="29"/>
      <c r="W593" s="29"/>
      <c r="X593" s="29"/>
      <c r="Y593" s="29"/>
      <c r="Z593" s="29"/>
    </row>
    <row r="594" ht="18.75" customHeight="1">
      <c r="A594" s="37"/>
      <c r="B594" s="38"/>
      <c r="C594" s="29"/>
      <c r="D594" s="39"/>
      <c r="E594" s="29"/>
      <c r="F594" s="40"/>
      <c r="G594" s="40"/>
      <c r="H594" s="40"/>
      <c r="I594" s="29"/>
      <c r="J594" s="29"/>
      <c r="K594" s="29"/>
      <c r="L594" s="29"/>
      <c r="M594" s="29"/>
      <c r="N594" s="29"/>
      <c r="O594" s="29"/>
      <c r="P594" s="29"/>
      <c r="Q594" s="29"/>
      <c r="R594" s="29"/>
      <c r="S594" s="29"/>
      <c r="T594" s="29"/>
      <c r="U594" s="29"/>
      <c r="V594" s="29"/>
      <c r="W594" s="29"/>
      <c r="X594" s="29"/>
      <c r="Y594" s="29"/>
      <c r="Z594" s="29"/>
    </row>
    <row r="595" ht="18.75" customHeight="1">
      <c r="A595" s="37"/>
      <c r="B595" s="38"/>
      <c r="C595" s="29"/>
      <c r="D595" s="39"/>
      <c r="E595" s="29"/>
      <c r="F595" s="40"/>
      <c r="G595" s="40"/>
      <c r="H595" s="40"/>
      <c r="I595" s="29"/>
      <c r="J595" s="29"/>
      <c r="K595" s="29"/>
      <c r="L595" s="29"/>
      <c r="M595" s="29"/>
      <c r="N595" s="29"/>
      <c r="O595" s="29"/>
      <c r="P595" s="29"/>
      <c r="Q595" s="29"/>
      <c r="R595" s="29"/>
      <c r="S595" s="29"/>
      <c r="T595" s="29"/>
      <c r="U595" s="29"/>
      <c r="V595" s="29"/>
      <c r="W595" s="29"/>
      <c r="X595" s="29"/>
      <c r="Y595" s="29"/>
      <c r="Z595" s="29"/>
    </row>
    <row r="596" ht="18.75" customHeight="1">
      <c r="A596" s="37"/>
      <c r="B596" s="38"/>
      <c r="C596" s="29"/>
      <c r="D596" s="39"/>
      <c r="E596" s="29"/>
      <c r="F596" s="40"/>
      <c r="G596" s="40"/>
      <c r="H596" s="40"/>
      <c r="I596" s="29"/>
      <c r="J596" s="29"/>
      <c r="K596" s="29"/>
      <c r="L596" s="29"/>
      <c r="M596" s="29"/>
      <c r="N596" s="29"/>
      <c r="O596" s="29"/>
      <c r="P596" s="29"/>
      <c r="Q596" s="29"/>
      <c r="R596" s="29"/>
      <c r="S596" s="29"/>
      <c r="T596" s="29"/>
      <c r="U596" s="29"/>
      <c r="V596" s="29"/>
      <c r="W596" s="29"/>
      <c r="X596" s="29"/>
      <c r="Y596" s="29"/>
      <c r="Z596" s="29"/>
    </row>
    <row r="597" ht="18.75" customHeight="1">
      <c r="A597" s="37"/>
      <c r="B597" s="38"/>
      <c r="C597" s="29"/>
      <c r="D597" s="39"/>
      <c r="E597" s="29"/>
      <c r="F597" s="40"/>
      <c r="G597" s="40"/>
      <c r="H597" s="40"/>
      <c r="I597" s="29"/>
      <c r="J597" s="29"/>
      <c r="K597" s="29"/>
      <c r="L597" s="29"/>
      <c r="M597" s="29"/>
      <c r="N597" s="29"/>
      <c r="O597" s="29"/>
      <c r="P597" s="29"/>
      <c r="Q597" s="29"/>
      <c r="R597" s="29"/>
      <c r="S597" s="29"/>
      <c r="T597" s="29"/>
      <c r="U597" s="29"/>
      <c r="V597" s="29"/>
      <c r="W597" s="29"/>
      <c r="X597" s="29"/>
      <c r="Y597" s="29"/>
      <c r="Z597" s="29"/>
    </row>
    <row r="598" ht="18.75" customHeight="1">
      <c r="A598" s="37"/>
      <c r="B598" s="38"/>
      <c r="C598" s="29"/>
      <c r="D598" s="39"/>
      <c r="E598" s="29"/>
      <c r="F598" s="40"/>
      <c r="G598" s="40"/>
      <c r="H598" s="40"/>
      <c r="I598" s="29"/>
      <c r="J598" s="29"/>
      <c r="K598" s="29"/>
      <c r="L598" s="29"/>
      <c r="M598" s="29"/>
      <c r="N598" s="29"/>
      <c r="O598" s="29"/>
      <c r="P598" s="29"/>
      <c r="Q598" s="29"/>
      <c r="R598" s="29"/>
      <c r="S598" s="29"/>
      <c r="T598" s="29"/>
      <c r="U598" s="29"/>
      <c r="V598" s="29"/>
      <c r="W598" s="29"/>
      <c r="X598" s="29"/>
      <c r="Y598" s="29"/>
      <c r="Z598" s="29"/>
    </row>
    <row r="599" ht="18.75" customHeight="1">
      <c r="A599" s="37"/>
      <c r="B599" s="38"/>
      <c r="C599" s="29"/>
      <c r="D599" s="39"/>
      <c r="E599" s="29"/>
      <c r="F599" s="40"/>
      <c r="G599" s="40"/>
      <c r="H599" s="40"/>
      <c r="I599" s="29"/>
      <c r="J599" s="29"/>
      <c r="K599" s="29"/>
      <c r="L599" s="29"/>
      <c r="M599" s="29"/>
      <c r="N599" s="29"/>
      <c r="O599" s="29"/>
      <c r="P599" s="29"/>
      <c r="Q599" s="29"/>
      <c r="R599" s="29"/>
      <c r="S599" s="29"/>
      <c r="T599" s="29"/>
      <c r="U599" s="29"/>
      <c r="V599" s="29"/>
      <c r="W599" s="29"/>
      <c r="X599" s="29"/>
      <c r="Y599" s="29"/>
      <c r="Z599" s="29"/>
    </row>
    <row r="600" ht="18.75" customHeight="1">
      <c r="A600" s="37"/>
      <c r="B600" s="38"/>
      <c r="C600" s="29"/>
      <c r="D600" s="39"/>
      <c r="E600" s="29"/>
      <c r="F600" s="40"/>
      <c r="G600" s="40"/>
      <c r="H600" s="40"/>
      <c r="I600" s="29"/>
      <c r="J600" s="29"/>
      <c r="K600" s="29"/>
      <c r="L600" s="29"/>
      <c r="M600" s="29"/>
      <c r="N600" s="29"/>
      <c r="O600" s="29"/>
      <c r="P600" s="29"/>
      <c r="Q600" s="29"/>
      <c r="R600" s="29"/>
      <c r="S600" s="29"/>
      <c r="T600" s="29"/>
      <c r="U600" s="29"/>
      <c r="V600" s="29"/>
      <c r="W600" s="29"/>
      <c r="X600" s="29"/>
      <c r="Y600" s="29"/>
      <c r="Z600" s="29"/>
    </row>
    <row r="601" ht="18.75" customHeight="1">
      <c r="A601" s="37"/>
      <c r="B601" s="38"/>
      <c r="C601" s="29"/>
      <c r="D601" s="39"/>
      <c r="E601" s="29"/>
      <c r="F601" s="40"/>
      <c r="G601" s="40"/>
      <c r="H601" s="40"/>
      <c r="I601" s="29"/>
      <c r="J601" s="29"/>
      <c r="K601" s="29"/>
      <c r="L601" s="29"/>
      <c r="M601" s="29"/>
      <c r="N601" s="29"/>
      <c r="O601" s="29"/>
      <c r="P601" s="29"/>
      <c r="Q601" s="29"/>
      <c r="R601" s="29"/>
      <c r="S601" s="29"/>
      <c r="T601" s="29"/>
      <c r="U601" s="29"/>
      <c r="V601" s="29"/>
      <c r="W601" s="29"/>
      <c r="X601" s="29"/>
      <c r="Y601" s="29"/>
      <c r="Z601" s="29"/>
    </row>
    <row r="602" ht="18.75" customHeight="1">
      <c r="A602" s="37"/>
      <c r="B602" s="38"/>
      <c r="C602" s="29"/>
      <c r="D602" s="39"/>
      <c r="E602" s="29"/>
      <c r="F602" s="40"/>
      <c r="G602" s="40"/>
      <c r="H602" s="40"/>
      <c r="I602" s="29"/>
      <c r="J602" s="29"/>
      <c r="K602" s="29"/>
      <c r="L602" s="29"/>
      <c r="M602" s="29"/>
      <c r="N602" s="29"/>
      <c r="O602" s="29"/>
      <c r="P602" s="29"/>
      <c r="Q602" s="29"/>
      <c r="R602" s="29"/>
      <c r="S602" s="29"/>
      <c r="T602" s="29"/>
      <c r="U602" s="29"/>
      <c r="V602" s="29"/>
      <c r="W602" s="29"/>
      <c r="X602" s="29"/>
      <c r="Y602" s="29"/>
      <c r="Z602" s="29"/>
    </row>
    <row r="603" ht="18.75" customHeight="1">
      <c r="A603" s="37"/>
      <c r="B603" s="38"/>
      <c r="C603" s="29"/>
      <c r="D603" s="39"/>
      <c r="E603" s="29"/>
      <c r="F603" s="40"/>
      <c r="G603" s="40"/>
      <c r="H603" s="40"/>
      <c r="I603" s="29"/>
      <c r="J603" s="29"/>
      <c r="K603" s="29"/>
      <c r="L603" s="29"/>
      <c r="M603" s="29"/>
      <c r="N603" s="29"/>
      <c r="O603" s="29"/>
      <c r="P603" s="29"/>
      <c r="Q603" s="29"/>
      <c r="R603" s="29"/>
      <c r="S603" s="29"/>
      <c r="T603" s="29"/>
      <c r="U603" s="29"/>
      <c r="V603" s="29"/>
      <c r="W603" s="29"/>
      <c r="X603" s="29"/>
      <c r="Y603" s="29"/>
      <c r="Z603" s="29"/>
    </row>
    <row r="604" ht="18.75" customHeight="1">
      <c r="A604" s="37"/>
      <c r="B604" s="38"/>
      <c r="C604" s="29"/>
      <c r="D604" s="39"/>
      <c r="E604" s="29"/>
      <c r="F604" s="40"/>
      <c r="G604" s="40"/>
      <c r="H604" s="40"/>
      <c r="I604" s="29"/>
      <c r="J604" s="29"/>
      <c r="K604" s="29"/>
      <c r="L604" s="29"/>
      <c r="M604" s="29"/>
      <c r="N604" s="29"/>
      <c r="O604" s="29"/>
      <c r="P604" s="29"/>
      <c r="Q604" s="29"/>
      <c r="R604" s="29"/>
      <c r="S604" s="29"/>
      <c r="T604" s="29"/>
      <c r="U604" s="29"/>
      <c r="V604" s="29"/>
      <c r="W604" s="29"/>
      <c r="X604" s="29"/>
      <c r="Y604" s="29"/>
      <c r="Z604" s="29"/>
    </row>
    <row r="605" ht="18.75" customHeight="1">
      <c r="A605" s="37"/>
      <c r="B605" s="38"/>
      <c r="C605" s="29"/>
      <c r="D605" s="39"/>
      <c r="E605" s="29"/>
      <c r="F605" s="40"/>
      <c r="G605" s="40"/>
      <c r="H605" s="40"/>
      <c r="I605" s="29"/>
      <c r="J605" s="29"/>
      <c r="K605" s="29"/>
      <c r="L605" s="29"/>
      <c r="M605" s="29"/>
      <c r="N605" s="29"/>
      <c r="O605" s="29"/>
      <c r="P605" s="29"/>
      <c r="Q605" s="29"/>
      <c r="R605" s="29"/>
      <c r="S605" s="29"/>
      <c r="T605" s="29"/>
      <c r="U605" s="29"/>
      <c r="V605" s="29"/>
      <c r="W605" s="29"/>
      <c r="X605" s="29"/>
      <c r="Y605" s="29"/>
      <c r="Z605" s="29"/>
    </row>
    <row r="606" ht="18.75" customHeight="1">
      <c r="A606" s="37"/>
      <c r="B606" s="38"/>
      <c r="C606" s="29"/>
      <c r="D606" s="39"/>
      <c r="E606" s="29"/>
      <c r="F606" s="40"/>
      <c r="G606" s="40"/>
      <c r="H606" s="40"/>
      <c r="I606" s="29"/>
      <c r="J606" s="29"/>
      <c r="K606" s="29"/>
      <c r="L606" s="29"/>
      <c r="M606" s="29"/>
      <c r="N606" s="29"/>
      <c r="O606" s="29"/>
      <c r="P606" s="29"/>
      <c r="Q606" s="29"/>
      <c r="R606" s="29"/>
      <c r="S606" s="29"/>
      <c r="T606" s="29"/>
      <c r="U606" s="29"/>
      <c r="V606" s="29"/>
      <c r="W606" s="29"/>
      <c r="X606" s="29"/>
      <c r="Y606" s="29"/>
      <c r="Z606" s="29"/>
    </row>
    <row r="607" ht="18.75" customHeight="1">
      <c r="A607" s="37"/>
      <c r="B607" s="38"/>
      <c r="C607" s="29"/>
      <c r="D607" s="39"/>
      <c r="E607" s="29"/>
      <c r="F607" s="40"/>
      <c r="G607" s="40"/>
      <c r="H607" s="40"/>
      <c r="I607" s="29"/>
      <c r="J607" s="29"/>
      <c r="K607" s="29"/>
      <c r="L607" s="29"/>
      <c r="M607" s="29"/>
      <c r="N607" s="29"/>
      <c r="O607" s="29"/>
      <c r="P607" s="29"/>
      <c r="Q607" s="29"/>
      <c r="R607" s="29"/>
      <c r="S607" s="29"/>
      <c r="T607" s="29"/>
      <c r="U607" s="29"/>
      <c r="V607" s="29"/>
      <c r="W607" s="29"/>
      <c r="X607" s="29"/>
      <c r="Y607" s="29"/>
      <c r="Z607" s="29"/>
    </row>
    <row r="608" ht="18.75" customHeight="1">
      <c r="A608" s="37"/>
      <c r="B608" s="38"/>
      <c r="C608" s="29"/>
      <c r="D608" s="39"/>
      <c r="E608" s="29"/>
      <c r="F608" s="40"/>
      <c r="G608" s="40"/>
      <c r="H608" s="40"/>
      <c r="I608" s="29"/>
      <c r="J608" s="29"/>
      <c r="K608" s="29"/>
      <c r="L608" s="29"/>
      <c r="M608" s="29"/>
      <c r="N608" s="29"/>
      <c r="O608" s="29"/>
      <c r="P608" s="29"/>
      <c r="Q608" s="29"/>
      <c r="R608" s="29"/>
      <c r="S608" s="29"/>
      <c r="T608" s="29"/>
      <c r="U608" s="29"/>
      <c r="V608" s="29"/>
      <c r="W608" s="29"/>
      <c r="X608" s="29"/>
      <c r="Y608" s="29"/>
      <c r="Z608" s="29"/>
    </row>
    <row r="609" ht="18.75" customHeight="1">
      <c r="A609" s="37"/>
      <c r="B609" s="38"/>
      <c r="C609" s="29"/>
      <c r="D609" s="39"/>
      <c r="E609" s="29"/>
      <c r="F609" s="40"/>
      <c r="G609" s="40"/>
      <c r="H609" s="40"/>
      <c r="I609" s="29"/>
      <c r="J609" s="29"/>
      <c r="K609" s="29"/>
      <c r="L609" s="29"/>
      <c r="M609" s="29"/>
      <c r="N609" s="29"/>
      <c r="O609" s="29"/>
      <c r="P609" s="29"/>
      <c r="Q609" s="29"/>
      <c r="R609" s="29"/>
      <c r="S609" s="29"/>
      <c r="T609" s="29"/>
      <c r="U609" s="29"/>
      <c r="V609" s="29"/>
      <c r="W609" s="29"/>
      <c r="X609" s="29"/>
      <c r="Y609" s="29"/>
      <c r="Z609" s="29"/>
    </row>
    <row r="610" ht="18.75" customHeight="1">
      <c r="A610" s="37"/>
      <c r="B610" s="38"/>
      <c r="C610" s="29"/>
      <c r="D610" s="39"/>
      <c r="E610" s="29"/>
      <c r="F610" s="40"/>
      <c r="G610" s="40"/>
      <c r="H610" s="40"/>
      <c r="I610" s="29"/>
      <c r="J610" s="29"/>
      <c r="K610" s="29"/>
      <c r="L610" s="29"/>
      <c r="M610" s="29"/>
      <c r="N610" s="29"/>
      <c r="O610" s="29"/>
      <c r="P610" s="29"/>
      <c r="Q610" s="29"/>
      <c r="R610" s="29"/>
      <c r="S610" s="29"/>
      <c r="T610" s="29"/>
      <c r="U610" s="29"/>
      <c r="V610" s="29"/>
      <c r="W610" s="29"/>
      <c r="X610" s="29"/>
      <c r="Y610" s="29"/>
      <c r="Z610" s="29"/>
    </row>
    <row r="611" ht="18.75" customHeight="1">
      <c r="A611" s="37"/>
      <c r="B611" s="38"/>
      <c r="C611" s="29"/>
      <c r="D611" s="39"/>
      <c r="E611" s="29"/>
      <c r="F611" s="40"/>
      <c r="G611" s="40"/>
      <c r="H611" s="40"/>
      <c r="I611" s="29"/>
      <c r="J611" s="29"/>
      <c r="K611" s="29"/>
      <c r="L611" s="29"/>
      <c r="M611" s="29"/>
      <c r="N611" s="29"/>
      <c r="O611" s="29"/>
      <c r="P611" s="29"/>
      <c r="Q611" s="29"/>
      <c r="R611" s="29"/>
      <c r="S611" s="29"/>
      <c r="T611" s="29"/>
      <c r="U611" s="29"/>
      <c r="V611" s="29"/>
      <c r="W611" s="29"/>
      <c r="X611" s="29"/>
      <c r="Y611" s="29"/>
      <c r="Z611" s="29"/>
    </row>
    <row r="612" ht="18.75" customHeight="1">
      <c r="A612" s="37"/>
      <c r="B612" s="38"/>
      <c r="C612" s="29"/>
      <c r="D612" s="39"/>
      <c r="E612" s="29"/>
      <c r="F612" s="40"/>
      <c r="G612" s="40"/>
      <c r="H612" s="40"/>
      <c r="I612" s="29"/>
      <c r="J612" s="29"/>
      <c r="K612" s="29"/>
      <c r="L612" s="29"/>
      <c r="M612" s="29"/>
      <c r="N612" s="29"/>
      <c r="O612" s="29"/>
      <c r="P612" s="29"/>
      <c r="Q612" s="29"/>
      <c r="R612" s="29"/>
      <c r="S612" s="29"/>
      <c r="T612" s="29"/>
      <c r="U612" s="29"/>
      <c r="V612" s="29"/>
      <c r="W612" s="29"/>
      <c r="X612" s="29"/>
      <c r="Y612" s="29"/>
      <c r="Z612" s="29"/>
    </row>
    <row r="613" ht="18.75" customHeight="1">
      <c r="A613" s="37"/>
      <c r="B613" s="38"/>
      <c r="C613" s="29"/>
      <c r="D613" s="39"/>
      <c r="E613" s="29"/>
      <c r="F613" s="40"/>
      <c r="G613" s="40"/>
      <c r="H613" s="40"/>
      <c r="I613" s="29"/>
      <c r="J613" s="29"/>
      <c r="K613" s="29"/>
      <c r="L613" s="29"/>
      <c r="M613" s="29"/>
      <c r="N613" s="29"/>
      <c r="O613" s="29"/>
      <c r="P613" s="29"/>
      <c r="Q613" s="29"/>
      <c r="R613" s="29"/>
      <c r="S613" s="29"/>
      <c r="T613" s="29"/>
      <c r="U613" s="29"/>
      <c r="V613" s="29"/>
      <c r="W613" s="29"/>
      <c r="X613" s="29"/>
      <c r="Y613" s="29"/>
      <c r="Z613" s="29"/>
    </row>
    <row r="614" ht="18.75" customHeight="1">
      <c r="A614" s="37"/>
      <c r="B614" s="38"/>
      <c r="C614" s="29"/>
      <c r="D614" s="39"/>
      <c r="E614" s="29"/>
      <c r="F614" s="40"/>
      <c r="G614" s="40"/>
      <c r="H614" s="40"/>
      <c r="I614" s="29"/>
      <c r="J614" s="29"/>
      <c r="K614" s="29"/>
      <c r="L614" s="29"/>
      <c r="M614" s="29"/>
      <c r="N614" s="29"/>
      <c r="O614" s="29"/>
      <c r="P614" s="29"/>
      <c r="Q614" s="29"/>
      <c r="R614" s="29"/>
      <c r="S614" s="29"/>
      <c r="T614" s="29"/>
      <c r="U614" s="29"/>
      <c r="V614" s="29"/>
      <c r="W614" s="29"/>
      <c r="X614" s="29"/>
      <c r="Y614" s="29"/>
      <c r="Z614" s="29"/>
    </row>
    <row r="615" ht="18.75" customHeight="1">
      <c r="A615" s="37"/>
      <c r="B615" s="38"/>
      <c r="C615" s="29"/>
      <c r="D615" s="39"/>
      <c r="E615" s="29"/>
      <c r="F615" s="40"/>
      <c r="G615" s="40"/>
      <c r="H615" s="40"/>
      <c r="I615" s="29"/>
      <c r="J615" s="29"/>
      <c r="K615" s="29"/>
      <c r="L615" s="29"/>
      <c r="M615" s="29"/>
      <c r="N615" s="29"/>
      <c r="O615" s="29"/>
      <c r="P615" s="29"/>
      <c r="Q615" s="29"/>
      <c r="R615" s="29"/>
      <c r="S615" s="29"/>
      <c r="T615" s="29"/>
      <c r="U615" s="29"/>
      <c r="V615" s="29"/>
      <c r="W615" s="29"/>
      <c r="X615" s="29"/>
      <c r="Y615" s="29"/>
      <c r="Z615" s="29"/>
    </row>
    <row r="616" ht="18.75" customHeight="1">
      <c r="A616" s="37"/>
      <c r="B616" s="38"/>
      <c r="C616" s="29"/>
      <c r="D616" s="39"/>
      <c r="E616" s="29"/>
      <c r="F616" s="40"/>
      <c r="G616" s="40"/>
      <c r="H616" s="40"/>
      <c r="I616" s="29"/>
      <c r="J616" s="29"/>
      <c r="K616" s="29"/>
      <c r="L616" s="29"/>
      <c r="M616" s="29"/>
      <c r="N616" s="29"/>
      <c r="O616" s="29"/>
      <c r="P616" s="29"/>
      <c r="Q616" s="29"/>
      <c r="R616" s="29"/>
      <c r="S616" s="29"/>
      <c r="T616" s="29"/>
      <c r="U616" s="29"/>
      <c r="V616" s="29"/>
      <c r="W616" s="29"/>
      <c r="X616" s="29"/>
      <c r="Y616" s="29"/>
      <c r="Z616" s="29"/>
    </row>
    <row r="617" ht="18.75" customHeight="1">
      <c r="A617" s="37"/>
      <c r="B617" s="38"/>
      <c r="C617" s="29"/>
      <c r="D617" s="39"/>
      <c r="E617" s="29"/>
      <c r="F617" s="40"/>
      <c r="G617" s="40"/>
      <c r="H617" s="40"/>
      <c r="I617" s="29"/>
      <c r="J617" s="29"/>
      <c r="K617" s="29"/>
      <c r="L617" s="29"/>
      <c r="M617" s="29"/>
      <c r="N617" s="29"/>
      <c r="O617" s="29"/>
      <c r="P617" s="29"/>
      <c r="Q617" s="29"/>
      <c r="R617" s="29"/>
      <c r="S617" s="29"/>
      <c r="T617" s="29"/>
      <c r="U617" s="29"/>
      <c r="V617" s="29"/>
      <c r="W617" s="29"/>
      <c r="X617" s="29"/>
      <c r="Y617" s="29"/>
      <c r="Z617" s="29"/>
    </row>
    <row r="618" ht="18.75" customHeight="1">
      <c r="A618" s="37"/>
      <c r="B618" s="38"/>
      <c r="C618" s="29"/>
      <c r="D618" s="39"/>
      <c r="E618" s="29"/>
      <c r="F618" s="40"/>
      <c r="G618" s="40"/>
      <c r="H618" s="40"/>
      <c r="I618" s="29"/>
      <c r="J618" s="29"/>
      <c r="K618" s="29"/>
      <c r="L618" s="29"/>
      <c r="M618" s="29"/>
      <c r="N618" s="29"/>
      <c r="O618" s="29"/>
      <c r="P618" s="29"/>
      <c r="Q618" s="29"/>
      <c r="R618" s="29"/>
      <c r="S618" s="29"/>
      <c r="T618" s="29"/>
      <c r="U618" s="29"/>
      <c r="V618" s="29"/>
      <c r="W618" s="29"/>
      <c r="X618" s="29"/>
      <c r="Y618" s="29"/>
      <c r="Z618" s="29"/>
    </row>
    <row r="619" ht="18.75" customHeight="1">
      <c r="A619" s="37"/>
      <c r="B619" s="38"/>
      <c r="C619" s="29"/>
      <c r="D619" s="39"/>
      <c r="E619" s="29"/>
      <c r="F619" s="40"/>
      <c r="G619" s="40"/>
      <c r="H619" s="40"/>
      <c r="I619" s="29"/>
      <c r="J619" s="29"/>
      <c r="K619" s="29"/>
      <c r="L619" s="29"/>
      <c r="M619" s="29"/>
      <c r="N619" s="29"/>
      <c r="O619" s="29"/>
      <c r="P619" s="29"/>
      <c r="Q619" s="29"/>
      <c r="R619" s="29"/>
      <c r="S619" s="29"/>
      <c r="T619" s="29"/>
      <c r="U619" s="29"/>
      <c r="V619" s="29"/>
      <c r="W619" s="29"/>
      <c r="X619" s="29"/>
      <c r="Y619" s="29"/>
      <c r="Z619" s="29"/>
    </row>
    <row r="620" ht="18.75" customHeight="1">
      <c r="A620" s="37"/>
      <c r="B620" s="38"/>
      <c r="C620" s="29"/>
      <c r="D620" s="39"/>
      <c r="E620" s="29"/>
      <c r="F620" s="40"/>
      <c r="G620" s="40"/>
      <c r="H620" s="40"/>
      <c r="I620" s="29"/>
      <c r="J620" s="29"/>
      <c r="K620" s="29"/>
      <c r="L620" s="29"/>
      <c r="M620" s="29"/>
      <c r="N620" s="29"/>
      <c r="O620" s="29"/>
      <c r="P620" s="29"/>
      <c r="Q620" s="29"/>
      <c r="R620" s="29"/>
      <c r="S620" s="29"/>
      <c r="T620" s="29"/>
      <c r="U620" s="29"/>
      <c r="V620" s="29"/>
      <c r="W620" s="29"/>
      <c r="X620" s="29"/>
      <c r="Y620" s="29"/>
      <c r="Z620" s="29"/>
    </row>
    <row r="621" ht="18.75" customHeight="1">
      <c r="A621" s="37"/>
      <c r="B621" s="38"/>
      <c r="C621" s="29"/>
      <c r="D621" s="39"/>
      <c r="E621" s="29"/>
      <c r="F621" s="40"/>
      <c r="G621" s="40"/>
      <c r="H621" s="40"/>
      <c r="I621" s="29"/>
      <c r="J621" s="29"/>
      <c r="K621" s="29"/>
      <c r="L621" s="29"/>
      <c r="M621" s="29"/>
      <c r="N621" s="29"/>
      <c r="O621" s="29"/>
      <c r="P621" s="29"/>
      <c r="Q621" s="29"/>
      <c r="R621" s="29"/>
      <c r="S621" s="29"/>
      <c r="T621" s="29"/>
      <c r="U621" s="29"/>
      <c r="V621" s="29"/>
      <c r="W621" s="29"/>
      <c r="X621" s="29"/>
      <c r="Y621" s="29"/>
      <c r="Z621" s="29"/>
    </row>
    <row r="622" ht="18.75" customHeight="1">
      <c r="A622" s="37"/>
      <c r="B622" s="38"/>
      <c r="C622" s="29"/>
      <c r="D622" s="39"/>
      <c r="E622" s="29"/>
      <c r="F622" s="40"/>
      <c r="G622" s="40"/>
      <c r="H622" s="40"/>
      <c r="I622" s="29"/>
      <c r="J622" s="29"/>
      <c r="K622" s="29"/>
      <c r="L622" s="29"/>
      <c r="M622" s="29"/>
      <c r="N622" s="29"/>
      <c r="O622" s="29"/>
      <c r="P622" s="29"/>
      <c r="Q622" s="29"/>
      <c r="R622" s="29"/>
      <c r="S622" s="29"/>
      <c r="T622" s="29"/>
      <c r="U622" s="29"/>
      <c r="V622" s="29"/>
      <c r="W622" s="29"/>
      <c r="X622" s="29"/>
      <c r="Y622" s="29"/>
      <c r="Z622" s="29"/>
    </row>
    <row r="623" ht="18.75" customHeight="1">
      <c r="A623" s="37"/>
      <c r="B623" s="38"/>
      <c r="C623" s="29"/>
      <c r="D623" s="39"/>
      <c r="E623" s="29"/>
      <c r="F623" s="40"/>
      <c r="G623" s="40"/>
      <c r="H623" s="40"/>
      <c r="I623" s="29"/>
      <c r="J623" s="29"/>
      <c r="K623" s="29"/>
      <c r="L623" s="29"/>
      <c r="M623" s="29"/>
      <c r="N623" s="29"/>
      <c r="O623" s="29"/>
      <c r="P623" s="29"/>
      <c r="Q623" s="29"/>
      <c r="R623" s="29"/>
      <c r="S623" s="29"/>
      <c r="T623" s="29"/>
      <c r="U623" s="29"/>
      <c r="V623" s="29"/>
      <c r="W623" s="29"/>
      <c r="X623" s="29"/>
      <c r="Y623" s="29"/>
      <c r="Z623" s="29"/>
    </row>
    <row r="624" ht="18.75" customHeight="1">
      <c r="A624" s="37"/>
      <c r="B624" s="38"/>
      <c r="C624" s="29"/>
      <c r="D624" s="39"/>
      <c r="E624" s="29"/>
      <c r="F624" s="40"/>
      <c r="G624" s="40"/>
      <c r="H624" s="40"/>
      <c r="I624" s="29"/>
      <c r="J624" s="29"/>
      <c r="K624" s="29"/>
      <c r="L624" s="29"/>
      <c r="M624" s="29"/>
      <c r="N624" s="29"/>
      <c r="O624" s="29"/>
      <c r="P624" s="29"/>
      <c r="Q624" s="29"/>
      <c r="R624" s="29"/>
      <c r="S624" s="29"/>
      <c r="T624" s="29"/>
      <c r="U624" s="29"/>
      <c r="V624" s="29"/>
      <c r="W624" s="29"/>
      <c r="X624" s="29"/>
      <c r="Y624" s="29"/>
      <c r="Z624" s="29"/>
    </row>
    <row r="625" ht="18.75" customHeight="1">
      <c r="A625" s="37"/>
      <c r="B625" s="38"/>
      <c r="C625" s="29"/>
      <c r="D625" s="39"/>
      <c r="E625" s="29"/>
      <c r="F625" s="40"/>
      <c r="G625" s="40"/>
      <c r="H625" s="40"/>
      <c r="I625" s="29"/>
      <c r="J625" s="29"/>
      <c r="K625" s="29"/>
      <c r="L625" s="29"/>
      <c r="M625" s="29"/>
      <c r="N625" s="29"/>
      <c r="O625" s="29"/>
      <c r="P625" s="29"/>
      <c r="Q625" s="29"/>
      <c r="R625" s="29"/>
      <c r="S625" s="29"/>
      <c r="T625" s="29"/>
      <c r="U625" s="29"/>
      <c r="V625" s="29"/>
      <c r="W625" s="29"/>
      <c r="X625" s="29"/>
      <c r="Y625" s="29"/>
      <c r="Z625" s="29"/>
    </row>
    <row r="626" ht="18.75" customHeight="1">
      <c r="A626" s="37"/>
      <c r="B626" s="38"/>
      <c r="C626" s="29"/>
      <c r="D626" s="39"/>
      <c r="E626" s="29"/>
      <c r="F626" s="40"/>
      <c r="G626" s="40"/>
      <c r="H626" s="40"/>
      <c r="I626" s="29"/>
      <c r="J626" s="29"/>
      <c r="K626" s="29"/>
      <c r="L626" s="29"/>
      <c r="M626" s="29"/>
      <c r="N626" s="29"/>
      <c r="O626" s="29"/>
      <c r="P626" s="29"/>
      <c r="Q626" s="29"/>
      <c r="R626" s="29"/>
      <c r="S626" s="29"/>
      <c r="T626" s="29"/>
      <c r="U626" s="29"/>
      <c r="V626" s="29"/>
      <c r="W626" s="29"/>
      <c r="X626" s="29"/>
      <c r="Y626" s="29"/>
      <c r="Z626" s="29"/>
    </row>
    <row r="627" ht="18.75" customHeight="1">
      <c r="A627" s="37"/>
      <c r="B627" s="38"/>
      <c r="C627" s="29"/>
      <c r="D627" s="39"/>
      <c r="E627" s="29"/>
      <c r="F627" s="40"/>
      <c r="G627" s="40"/>
      <c r="H627" s="40"/>
      <c r="I627" s="29"/>
      <c r="J627" s="29"/>
      <c r="K627" s="29"/>
      <c r="L627" s="29"/>
      <c r="M627" s="29"/>
      <c r="N627" s="29"/>
      <c r="O627" s="29"/>
      <c r="P627" s="29"/>
      <c r="Q627" s="29"/>
      <c r="R627" s="29"/>
      <c r="S627" s="29"/>
      <c r="T627" s="29"/>
      <c r="U627" s="29"/>
      <c r="V627" s="29"/>
      <c r="W627" s="29"/>
      <c r="X627" s="29"/>
      <c r="Y627" s="29"/>
      <c r="Z627" s="29"/>
    </row>
    <row r="628" ht="18.75" customHeight="1">
      <c r="A628" s="37"/>
      <c r="B628" s="38"/>
      <c r="C628" s="29"/>
      <c r="D628" s="39"/>
      <c r="E628" s="29"/>
      <c r="F628" s="40"/>
      <c r="G628" s="40"/>
      <c r="H628" s="40"/>
      <c r="I628" s="29"/>
      <c r="J628" s="29"/>
      <c r="K628" s="29"/>
      <c r="L628" s="29"/>
      <c r="M628" s="29"/>
      <c r="N628" s="29"/>
      <c r="O628" s="29"/>
      <c r="P628" s="29"/>
      <c r="Q628" s="29"/>
      <c r="R628" s="29"/>
      <c r="S628" s="29"/>
      <c r="T628" s="29"/>
      <c r="U628" s="29"/>
      <c r="V628" s="29"/>
      <c r="W628" s="29"/>
      <c r="X628" s="29"/>
      <c r="Y628" s="29"/>
      <c r="Z628" s="29"/>
    </row>
    <row r="629" ht="18.75" customHeight="1">
      <c r="A629" s="37"/>
      <c r="B629" s="38"/>
      <c r="C629" s="29"/>
      <c r="D629" s="39"/>
      <c r="E629" s="29"/>
      <c r="F629" s="40"/>
      <c r="G629" s="40"/>
      <c r="H629" s="40"/>
      <c r="I629" s="29"/>
      <c r="J629" s="29"/>
      <c r="K629" s="29"/>
      <c r="L629" s="29"/>
      <c r="M629" s="29"/>
      <c r="N629" s="29"/>
      <c r="O629" s="29"/>
      <c r="P629" s="29"/>
      <c r="Q629" s="29"/>
      <c r="R629" s="29"/>
      <c r="S629" s="29"/>
      <c r="T629" s="29"/>
      <c r="U629" s="29"/>
      <c r="V629" s="29"/>
      <c r="W629" s="29"/>
      <c r="X629" s="29"/>
      <c r="Y629" s="29"/>
      <c r="Z629" s="29"/>
    </row>
    <row r="630" ht="18.75" customHeight="1">
      <c r="A630" s="37"/>
      <c r="B630" s="38"/>
      <c r="C630" s="29"/>
      <c r="D630" s="39"/>
      <c r="E630" s="29"/>
      <c r="F630" s="40"/>
      <c r="G630" s="40"/>
      <c r="H630" s="40"/>
      <c r="I630" s="29"/>
      <c r="J630" s="29"/>
      <c r="K630" s="29"/>
      <c r="L630" s="29"/>
      <c r="M630" s="29"/>
      <c r="N630" s="29"/>
      <c r="O630" s="29"/>
      <c r="P630" s="29"/>
      <c r="Q630" s="29"/>
      <c r="R630" s="29"/>
      <c r="S630" s="29"/>
      <c r="T630" s="29"/>
      <c r="U630" s="29"/>
      <c r="V630" s="29"/>
      <c r="W630" s="29"/>
      <c r="X630" s="29"/>
      <c r="Y630" s="29"/>
      <c r="Z630" s="29"/>
    </row>
    <row r="631" ht="18.75" customHeight="1">
      <c r="A631" s="37"/>
      <c r="B631" s="38"/>
      <c r="C631" s="29"/>
      <c r="D631" s="39"/>
      <c r="E631" s="29"/>
      <c r="F631" s="40"/>
      <c r="G631" s="40"/>
      <c r="H631" s="40"/>
      <c r="I631" s="29"/>
      <c r="J631" s="29"/>
      <c r="K631" s="29"/>
      <c r="L631" s="29"/>
      <c r="M631" s="29"/>
      <c r="N631" s="29"/>
      <c r="O631" s="29"/>
      <c r="P631" s="29"/>
      <c r="Q631" s="29"/>
      <c r="R631" s="29"/>
      <c r="S631" s="29"/>
      <c r="T631" s="29"/>
      <c r="U631" s="29"/>
      <c r="V631" s="29"/>
      <c r="W631" s="29"/>
      <c r="X631" s="29"/>
      <c r="Y631" s="29"/>
      <c r="Z631" s="29"/>
    </row>
    <row r="632" ht="18.75" customHeight="1">
      <c r="A632" s="37"/>
      <c r="B632" s="38"/>
      <c r="C632" s="29"/>
      <c r="D632" s="39"/>
      <c r="E632" s="29"/>
      <c r="F632" s="40"/>
      <c r="G632" s="40"/>
      <c r="H632" s="40"/>
      <c r="I632" s="29"/>
      <c r="J632" s="29"/>
      <c r="K632" s="29"/>
      <c r="L632" s="29"/>
      <c r="M632" s="29"/>
      <c r="N632" s="29"/>
      <c r="O632" s="29"/>
      <c r="P632" s="29"/>
      <c r="Q632" s="29"/>
      <c r="R632" s="29"/>
      <c r="S632" s="29"/>
      <c r="T632" s="29"/>
      <c r="U632" s="29"/>
      <c r="V632" s="29"/>
      <c r="W632" s="29"/>
      <c r="X632" s="29"/>
      <c r="Y632" s="29"/>
      <c r="Z632" s="29"/>
    </row>
    <row r="633" ht="18.75" customHeight="1">
      <c r="A633" s="37"/>
      <c r="B633" s="38"/>
      <c r="C633" s="29"/>
      <c r="D633" s="39"/>
      <c r="E633" s="29"/>
      <c r="F633" s="40"/>
      <c r="G633" s="40"/>
      <c r="H633" s="40"/>
      <c r="I633" s="29"/>
      <c r="J633" s="29"/>
      <c r="K633" s="29"/>
      <c r="L633" s="29"/>
      <c r="M633" s="29"/>
      <c r="N633" s="29"/>
      <c r="O633" s="29"/>
      <c r="P633" s="29"/>
      <c r="Q633" s="29"/>
      <c r="R633" s="29"/>
      <c r="S633" s="29"/>
      <c r="T633" s="29"/>
      <c r="U633" s="29"/>
      <c r="V633" s="29"/>
      <c r="W633" s="29"/>
      <c r="X633" s="29"/>
      <c r="Y633" s="29"/>
      <c r="Z633" s="29"/>
    </row>
    <row r="634" ht="18.75" customHeight="1">
      <c r="A634" s="37"/>
      <c r="B634" s="38"/>
      <c r="C634" s="29"/>
      <c r="D634" s="39"/>
      <c r="E634" s="29"/>
      <c r="F634" s="40"/>
      <c r="G634" s="40"/>
      <c r="H634" s="40"/>
      <c r="I634" s="29"/>
      <c r="J634" s="29"/>
      <c r="K634" s="29"/>
      <c r="L634" s="29"/>
      <c r="M634" s="29"/>
      <c r="N634" s="29"/>
      <c r="O634" s="29"/>
      <c r="P634" s="29"/>
      <c r="Q634" s="29"/>
      <c r="R634" s="29"/>
      <c r="S634" s="29"/>
      <c r="T634" s="29"/>
      <c r="U634" s="29"/>
      <c r="V634" s="29"/>
      <c r="W634" s="29"/>
      <c r="X634" s="29"/>
      <c r="Y634" s="29"/>
      <c r="Z634" s="29"/>
    </row>
    <row r="635" ht="18.75" customHeight="1">
      <c r="A635" s="37"/>
      <c r="B635" s="38"/>
      <c r="C635" s="29"/>
      <c r="D635" s="39"/>
      <c r="E635" s="29"/>
      <c r="F635" s="40"/>
      <c r="G635" s="40"/>
      <c r="H635" s="40"/>
      <c r="I635" s="29"/>
      <c r="J635" s="29"/>
      <c r="K635" s="29"/>
      <c r="L635" s="29"/>
      <c r="M635" s="29"/>
      <c r="N635" s="29"/>
      <c r="O635" s="29"/>
      <c r="P635" s="29"/>
      <c r="Q635" s="29"/>
      <c r="R635" s="29"/>
      <c r="S635" s="29"/>
      <c r="T635" s="29"/>
      <c r="U635" s="29"/>
      <c r="V635" s="29"/>
      <c r="W635" s="29"/>
      <c r="X635" s="29"/>
      <c r="Y635" s="29"/>
      <c r="Z635" s="29"/>
    </row>
    <row r="636" ht="18.75" customHeight="1">
      <c r="A636" s="37"/>
      <c r="B636" s="38"/>
      <c r="C636" s="29"/>
      <c r="D636" s="39"/>
      <c r="E636" s="29"/>
      <c r="F636" s="40"/>
      <c r="G636" s="40"/>
      <c r="H636" s="40"/>
      <c r="I636" s="29"/>
      <c r="J636" s="29"/>
      <c r="K636" s="29"/>
      <c r="L636" s="29"/>
      <c r="M636" s="29"/>
      <c r="N636" s="29"/>
      <c r="O636" s="29"/>
      <c r="P636" s="29"/>
      <c r="Q636" s="29"/>
      <c r="R636" s="29"/>
      <c r="S636" s="29"/>
      <c r="T636" s="29"/>
      <c r="U636" s="29"/>
      <c r="V636" s="29"/>
      <c r="W636" s="29"/>
      <c r="X636" s="29"/>
      <c r="Y636" s="29"/>
      <c r="Z636" s="29"/>
    </row>
    <row r="637" ht="18.75" customHeight="1">
      <c r="A637" s="37"/>
      <c r="B637" s="38"/>
      <c r="C637" s="29"/>
      <c r="D637" s="39"/>
      <c r="E637" s="29"/>
      <c r="F637" s="40"/>
      <c r="G637" s="40"/>
      <c r="H637" s="40"/>
      <c r="I637" s="29"/>
      <c r="J637" s="29"/>
      <c r="K637" s="29"/>
      <c r="L637" s="29"/>
      <c r="M637" s="29"/>
      <c r="N637" s="29"/>
      <c r="O637" s="29"/>
      <c r="P637" s="29"/>
      <c r="Q637" s="29"/>
      <c r="R637" s="29"/>
      <c r="S637" s="29"/>
      <c r="T637" s="29"/>
      <c r="U637" s="29"/>
      <c r="V637" s="29"/>
      <c r="W637" s="29"/>
      <c r="X637" s="29"/>
      <c r="Y637" s="29"/>
      <c r="Z637" s="29"/>
    </row>
    <row r="638" ht="18.75" customHeight="1">
      <c r="A638" s="37"/>
      <c r="B638" s="38"/>
      <c r="C638" s="29"/>
      <c r="D638" s="39"/>
      <c r="E638" s="29"/>
      <c r="F638" s="40"/>
      <c r="G638" s="40"/>
      <c r="H638" s="40"/>
      <c r="I638" s="29"/>
      <c r="J638" s="29"/>
      <c r="K638" s="29"/>
      <c r="L638" s="29"/>
      <c r="M638" s="29"/>
      <c r="N638" s="29"/>
      <c r="O638" s="29"/>
      <c r="P638" s="29"/>
      <c r="Q638" s="29"/>
      <c r="R638" s="29"/>
      <c r="S638" s="29"/>
      <c r="T638" s="29"/>
      <c r="U638" s="29"/>
      <c r="V638" s="29"/>
      <c r="W638" s="29"/>
      <c r="X638" s="29"/>
      <c r="Y638" s="29"/>
      <c r="Z638" s="29"/>
    </row>
    <row r="639" ht="18.75" customHeight="1">
      <c r="A639" s="37"/>
      <c r="B639" s="38"/>
      <c r="C639" s="29"/>
      <c r="D639" s="39"/>
      <c r="E639" s="29"/>
      <c r="F639" s="40"/>
      <c r="G639" s="40"/>
      <c r="H639" s="40"/>
      <c r="I639" s="29"/>
      <c r="J639" s="29"/>
      <c r="K639" s="29"/>
      <c r="L639" s="29"/>
      <c r="M639" s="29"/>
      <c r="N639" s="29"/>
      <c r="O639" s="29"/>
      <c r="P639" s="29"/>
      <c r="Q639" s="29"/>
      <c r="R639" s="29"/>
      <c r="S639" s="29"/>
      <c r="T639" s="29"/>
      <c r="U639" s="29"/>
      <c r="V639" s="29"/>
      <c r="W639" s="29"/>
      <c r="X639" s="29"/>
      <c r="Y639" s="29"/>
      <c r="Z639" s="29"/>
    </row>
    <row r="640" ht="18.75" customHeight="1">
      <c r="A640" s="37"/>
      <c r="B640" s="38"/>
      <c r="C640" s="29"/>
      <c r="D640" s="39"/>
      <c r="E640" s="29"/>
      <c r="F640" s="40"/>
      <c r="G640" s="40"/>
      <c r="H640" s="40"/>
      <c r="I640" s="29"/>
      <c r="J640" s="29"/>
      <c r="K640" s="29"/>
      <c r="L640" s="29"/>
      <c r="M640" s="29"/>
      <c r="N640" s="29"/>
      <c r="O640" s="29"/>
      <c r="P640" s="29"/>
      <c r="Q640" s="29"/>
      <c r="R640" s="29"/>
      <c r="S640" s="29"/>
      <c r="T640" s="29"/>
      <c r="U640" s="29"/>
      <c r="V640" s="29"/>
      <c r="W640" s="29"/>
      <c r="X640" s="29"/>
      <c r="Y640" s="29"/>
      <c r="Z640" s="29"/>
    </row>
    <row r="641" ht="18.75" customHeight="1">
      <c r="A641" s="37"/>
      <c r="B641" s="38"/>
      <c r="C641" s="29"/>
      <c r="D641" s="39"/>
      <c r="E641" s="29"/>
      <c r="F641" s="40"/>
      <c r="G641" s="40"/>
      <c r="H641" s="40"/>
      <c r="I641" s="29"/>
      <c r="J641" s="29"/>
      <c r="K641" s="29"/>
      <c r="L641" s="29"/>
      <c r="M641" s="29"/>
      <c r="N641" s="29"/>
      <c r="O641" s="29"/>
      <c r="P641" s="29"/>
      <c r="Q641" s="29"/>
      <c r="R641" s="29"/>
      <c r="S641" s="29"/>
      <c r="T641" s="29"/>
      <c r="U641" s="29"/>
      <c r="V641" s="29"/>
      <c r="W641" s="29"/>
      <c r="X641" s="29"/>
      <c r="Y641" s="29"/>
      <c r="Z641" s="29"/>
    </row>
    <row r="642" ht="18.75" customHeight="1">
      <c r="A642" s="37"/>
      <c r="B642" s="38"/>
      <c r="C642" s="29"/>
      <c r="D642" s="39"/>
      <c r="E642" s="29"/>
      <c r="F642" s="40"/>
      <c r="G642" s="40"/>
      <c r="H642" s="40"/>
      <c r="I642" s="29"/>
      <c r="J642" s="29"/>
      <c r="K642" s="29"/>
      <c r="L642" s="29"/>
      <c r="M642" s="29"/>
      <c r="N642" s="29"/>
      <c r="O642" s="29"/>
      <c r="P642" s="29"/>
      <c r="Q642" s="29"/>
      <c r="R642" s="29"/>
      <c r="S642" s="29"/>
      <c r="T642" s="29"/>
      <c r="U642" s="29"/>
      <c r="V642" s="29"/>
      <c r="W642" s="29"/>
      <c r="X642" s="29"/>
      <c r="Y642" s="29"/>
      <c r="Z642" s="29"/>
    </row>
    <row r="643" ht="18.75" customHeight="1">
      <c r="A643" s="37"/>
      <c r="B643" s="38"/>
      <c r="C643" s="29"/>
      <c r="D643" s="39"/>
      <c r="E643" s="29"/>
      <c r="F643" s="40"/>
      <c r="G643" s="40"/>
      <c r="H643" s="40"/>
      <c r="I643" s="29"/>
      <c r="J643" s="29"/>
      <c r="K643" s="29"/>
      <c r="L643" s="29"/>
      <c r="M643" s="29"/>
      <c r="N643" s="29"/>
      <c r="O643" s="29"/>
      <c r="P643" s="29"/>
      <c r="Q643" s="29"/>
      <c r="R643" s="29"/>
      <c r="S643" s="29"/>
      <c r="T643" s="29"/>
      <c r="U643" s="29"/>
      <c r="V643" s="29"/>
      <c r="W643" s="29"/>
      <c r="X643" s="29"/>
      <c r="Y643" s="29"/>
      <c r="Z643" s="29"/>
    </row>
    <row r="644" ht="18.75" customHeight="1">
      <c r="A644" s="37"/>
      <c r="B644" s="38"/>
      <c r="C644" s="29"/>
      <c r="D644" s="39"/>
      <c r="E644" s="29"/>
      <c r="F644" s="40"/>
      <c r="G644" s="40"/>
      <c r="H644" s="40"/>
      <c r="I644" s="29"/>
      <c r="J644" s="29"/>
      <c r="K644" s="29"/>
      <c r="L644" s="29"/>
      <c r="M644" s="29"/>
      <c r="N644" s="29"/>
      <c r="O644" s="29"/>
      <c r="P644" s="29"/>
      <c r="Q644" s="29"/>
      <c r="R644" s="29"/>
      <c r="S644" s="29"/>
      <c r="T644" s="29"/>
      <c r="U644" s="29"/>
      <c r="V644" s="29"/>
      <c r="W644" s="29"/>
      <c r="X644" s="29"/>
      <c r="Y644" s="29"/>
      <c r="Z644" s="29"/>
    </row>
    <row r="645" ht="18.75" customHeight="1">
      <c r="A645" s="37"/>
      <c r="B645" s="38"/>
      <c r="C645" s="29"/>
      <c r="D645" s="39"/>
      <c r="E645" s="29"/>
      <c r="F645" s="40"/>
      <c r="G645" s="40"/>
      <c r="H645" s="40"/>
      <c r="I645" s="29"/>
      <c r="J645" s="29"/>
      <c r="K645" s="29"/>
      <c r="L645" s="29"/>
      <c r="M645" s="29"/>
      <c r="N645" s="29"/>
      <c r="O645" s="29"/>
      <c r="P645" s="29"/>
      <c r="Q645" s="29"/>
      <c r="R645" s="29"/>
      <c r="S645" s="29"/>
      <c r="T645" s="29"/>
      <c r="U645" s="29"/>
      <c r="V645" s="29"/>
      <c r="W645" s="29"/>
      <c r="X645" s="29"/>
      <c r="Y645" s="29"/>
      <c r="Z645" s="29"/>
    </row>
    <row r="646" ht="18.75" customHeight="1">
      <c r="A646" s="37"/>
      <c r="B646" s="38"/>
      <c r="C646" s="29"/>
      <c r="D646" s="39"/>
      <c r="E646" s="29"/>
      <c r="F646" s="40"/>
      <c r="G646" s="40"/>
      <c r="H646" s="40"/>
      <c r="I646" s="29"/>
      <c r="J646" s="29"/>
      <c r="K646" s="29"/>
      <c r="L646" s="29"/>
      <c r="M646" s="29"/>
      <c r="N646" s="29"/>
      <c r="O646" s="29"/>
      <c r="P646" s="29"/>
      <c r="Q646" s="29"/>
      <c r="R646" s="29"/>
      <c r="S646" s="29"/>
      <c r="T646" s="29"/>
      <c r="U646" s="29"/>
      <c r="V646" s="29"/>
      <c r="W646" s="29"/>
      <c r="X646" s="29"/>
      <c r="Y646" s="29"/>
      <c r="Z646" s="29"/>
    </row>
    <row r="647" ht="18.75" customHeight="1">
      <c r="A647" s="37"/>
      <c r="B647" s="38"/>
      <c r="C647" s="29"/>
      <c r="D647" s="39"/>
      <c r="E647" s="29"/>
      <c r="F647" s="40"/>
      <c r="G647" s="40"/>
      <c r="H647" s="40"/>
      <c r="I647" s="29"/>
      <c r="J647" s="29"/>
      <c r="K647" s="29"/>
      <c r="L647" s="29"/>
      <c r="M647" s="29"/>
      <c r="N647" s="29"/>
      <c r="O647" s="29"/>
      <c r="P647" s="29"/>
      <c r="Q647" s="29"/>
      <c r="R647" s="29"/>
      <c r="S647" s="29"/>
      <c r="T647" s="29"/>
      <c r="U647" s="29"/>
      <c r="V647" s="29"/>
      <c r="W647" s="29"/>
      <c r="X647" s="29"/>
      <c r="Y647" s="29"/>
      <c r="Z647" s="29"/>
    </row>
    <row r="648" ht="18.75" customHeight="1">
      <c r="A648" s="37"/>
      <c r="B648" s="38"/>
      <c r="C648" s="29"/>
      <c r="D648" s="39"/>
      <c r="E648" s="29"/>
      <c r="F648" s="40"/>
      <c r="G648" s="40"/>
      <c r="H648" s="40"/>
      <c r="I648" s="29"/>
      <c r="J648" s="29"/>
      <c r="K648" s="29"/>
      <c r="L648" s="29"/>
      <c r="M648" s="29"/>
      <c r="N648" s="29"/>
      <c r="O648" s="29"/>
      <c r="P648" s="29"/>
      <c r="Q648" s="29"/>
      <c r="R648" s="29"/>
      <c r="S648" s="29"/>
      <c r="T648" s="29"/>
      <c r="U648" s="29"/>
      <c r="V648" s="29"/>
      <c r="W648" s="29"/>
      <c r="X648" s="29"/>
      <c r="Y648" s="29"/>
      <c r="Z648" s="29"/>
    </row>
    <row r="649" ht="18.75" customHeight="1">
      <c r="A649" s="37"/>
      <c r="B649" s="38"/>
      <c r="C649" s="29"/>
      <c r="D649" s="39"/>
      <c r="E649" s="29"/>
      <c r="F649" s="40"/>
      <c r="G649" s="40"/>
      <c r="H649" s="40"/>
      <c r="I649" s="29"/>
      <c r="J649" s="29"/>
      <c r="K649" s="29"/>
      <c r="L649" s="29"/>
      <c r="M649" s="29"/>
      <c r="N649" s="29"/>
      <c r="O649" s="29"/>
      <c r="P649" s="29"/>
      <c r="Q649" s="29"/>
      <c r="R649" s="29"/>
      <c r="S649" s="29"/>
      <c r="T649" s="29"/>
      <c r="U649" s="29"/>
      <c r="V649" s="29"/>
      <c r="W649" s="29"/>
      <c r="X649" s="29"/>
      <c r="Y649" s="29"/>
      <c r="Z649" s="29"/>
    </row>
    <row r="650" ht="18.75" customHeight="1">
      <c r="A650" s="37"/>
      <c r="B650" s="38"/>
      <c r="C650" s="29"/>
      <c r="D650" s="39"/>
      <c r="E650" s="29"/>
      <c r="F650" s="40"/>
      <c r="G650" s="40"/>
      <c r="H650" s="40"/>
      <c r="I650" s="29"/>
      <c r="J650" s="29"/>
      <c r="K650" s="29"/>
      <c r="L650" s="29"/>
      <c r="M650" s="29"/>
      <c r="N650" s="29"/>
      <c r="O650" s="29"/>
      <c r="P650" s="29"/>
      <c r="Q650" s="29"/>
      <c r="R650" s="29"/>
      <c r="S650" s="29"/>
      <c r="T650" s="29"/>
      <c r="U650" s="29"/>
      <c r="V650" s="29"/>
      <c r="W650" s="29"/>
      <c r="X650" s="29"/>
      <c r="Y650" s="29"/>
      <c r="Z650" s="29"/>
    </row>
    <row r="651" ht="18.75" customHeight="1">
      <c r="A651" s="37"/>
      <c r="B651" s="38"/>
      <c r="C651" s="29"/>
      <c r="D651" s="39"/>
      <c r="E651" s="29"/>
      <c r="F651" s="40"/>
      <c r="G651" s="40"/>
      <c r="H651" s="40"/>
      <c r="I651" s="29"/>
      <c r="J651" s="29"/>
      <c r="K651" s="29"/>
      <c r="L651" s="29"/>
      <c r="M651" s="29"/>
      <c r="N651" s="29"/>
      <c r="O651" s="29"/>
      <c r="P651" s="29"/>
      <c r="Q651" s="29"/>
      <c r="R651" s="29"/>
      <c r="S651" s="29"/>
      <c r="T651" s="29"/>
      <c r="U651" s="29"/>
      <c r="V651" s="29"/>
      <c r="W651" s="29"/>
      <c r="X651" s="29"/>
      <c r="Y651" s="29"/>
      <c r="Z651" s="29"/>
    </row>
    <row r="652" ht="18.75" customHeight="1">
      <c r="A652" s="37"/>
      <c r="B652" s="38"/>
      <c r="C652" s="29"/>
      <c r="D652" s="39"/>
      <c r="E652" s="29"/>
      <c r="F652" s="40"/>
      <c r="G652" s="40"/>
      <c r="H652" s="40"/>
      <c r="I652" s="29"/>
      <c r="J652" s="29"/>
      <c r="K652" s="29"/>
      <c r="L652" s="29"/>
      <c r="M652" s="29"/>
      <c r="N652" s="29"/>
      <c r="O652" s="29"/>
      <c r="P652" s="29"/>
      <c r="Q652" s="29"/>
      <c r="R652" s="29"/>
      <c r="S652" s="29"/>
      <c r="T652" s="29"/>
      <c r="U652" s="29"/>
      <c r="V652" s="29"/>
      <c r="W652" s="29"/>
      <c r="X652" s="29"/>
      <c r="Y652" s="29"/>
      <c r="Z652" s="29"/>
    </row>
    <row r="653" ht="18.75" customHeight="1">
      <c r="A653" s="37"/>
      <c r="B653" s="38"/>
      <c r="C653" s="29"/>
      <c r="D653" s="39"/>
      <c r="E653" s="29"/>
      <c r="F653" s="40"/>
      <c r="G653" s="40"/>
      <c r="H653" s="40"/>
      <c r="I653" s="29"/>
      <c r="J653" s="29"/>
      <c r="K653" s="29"/>
      <c r="L653" s="29"/>
      <c r="M653" s="29"/>
      <c r="N653" s="29"/>
      <c r="O653" s="29"/>
      <c r="P653" s="29"/>
      <c r="Q653" s="29"/>
      <c r="R653" s="29"/>
      <c r="S653" s="29"/>
      <c r="T653" s="29"/>
      <c r="U653" s="29"/>
      <c r="V653" s="29"/>
      <c r="W653" s="29"/>
      <c r="X653" s="29"/>
      <c r="Y653" s="29"/>
      <c r="Z653" s="29"/>
    </row>
    <row r="654" ht="18.75" customHeight="1">
      <c r="A654" s="37"/>
      <c r="B654" s="38"/>
      <c r="C654" s="29"/>
      <c r="D654" s="39"/>
      <c r="E654" s="29"/>
      <c r="F654" s="40"/>
      <c r="G654" s="40"/>
      <c r="H654" s="40"/>
      <c r="I654" s="29"/>
      <c r="J654" s="29"/>
      <c r="K654" s="29"/>
      <c r="L654" s="29"/>
      <c r="M654" s="29"/>
      <c r="N654" s="29"/>
      <c r="O654" s="29"/>
      <c r="P654" s="29"/>
      <c r="Q654" s="29"/>
      <c r="R654" s="29"/>
      <c r="S654" s="29"/>
      <c r="T654" s="29"/>
      <c r="U654" s="29"/>
      <c r="V654" s="29"/>
      <c r="W654" s="29"/>
      <c r="X654" s="29"/>
      <c r="Y654" s="29"/>
      <c r="Z654" s="29"/>
    </row>
    <row r="655" ht="18.75" customHeight="1">
      <c r="A655" s="37"/>
      <c r="B655" s="38"/>
      <c r="C655" s="29"/>
      <c r="D655" s="39"/>
      <c r="E655" s="29"/>
      <c r="F655" s="40"/>
      <c r="G655" s="40"/>
      <c r="H655" s="40"/>
      <c r="I655" s="29"/>
      <c r="J655" s="29"/>
      <c r="K655" s="29"/>
      <c r="L655" s="29"/>
      <c r="M655" s="29"/>
      <c r="N655" s="29"/>
      <c r="O655" s="29"/>
      <c r="P655" s="29"/>
      <c r="Q655" s="29"/>
      <c r="R655" s="29"/>
      <c r="S655" s="29"/>
      <c r="T655" s="29"/>
      <c r="U655" s="29"/>
      <c r="V655" s="29"/>
      <c r="W655" s="29"/>
      <c r="X655" s="29"/>
      <c r="Y655" s="29"/>
      <c r="Z655" s="29"/>
    </row>
    <row r="656" ht="18.75" customHeight="1">
      <c r="A656" s="37"/>
      <c r="B656" s="38"/>
      <c r="C656" s="29"/>
      <c r="D656" s="39"/>
      <c r="E656" s="29"/>
      <c r="F656" s="40"/>
      <c r="G656" s="40"/>
      <c r="H656" s="40"/>
      <c r="I656" s="29"/>
      <c r="J656" s="29"/>
      <c r="K656" s="29"/>
      <c r="L656" s="29"/>
      <c r="M656" s="29"/>
      <c r="N656" s="29"/>
      <c r="O656" s="29"/>
      <c r="P656" s="29"/>
      <c r="Q656" s="29"/>
      <c r="R656" s="29"/>
      <c r="S656" s="29"/>
      <c r="T656" s="29"/>
      <c r="U656" s="29"/>
      <c r="V656" s="29"/>
      <c r="W656" s="29"/>
      <c r="X656" s="29"/>
      <c r="Y656" s="29"/>
      <c r="Z656" s="29"/>
    </row>
    <row r="657" ht="18.75" customHeight="1">
      <c r="A657" s="37"/>
      <c r="B657" s="38"/>
      <c r="C657" s="29"/>
      <c r="D657" s="39"/>
      <c r="E657" s="29"/>
      <c r="F657" s="40"/>
      <c r="G657" s="40"/>
      <c r="H657" s="40"/>
      <c r="I657" s="29"/>
      <c r="J657" s="29"/>
      <c r="K657" s="29"/>
      <c r="L657" s="29"/>
      <c r="M657" s="29"/>
      <c r="N657" s="29"/>
      <c r="O657" s="29"/>
      <c r="P657" s="29"/>
      <c r="Q657" s="29"/>
      <c r="R657" s="29"/>
      <c r="S657" s="29"/>
      <c r="T657" s="29"/>
      <c r="U657" s="29"/>
      <c r="V657" s="29"/>
      <c r="W657" s="29"/>
      <c r="X657" s="29"/>
      <c r="Y657" s="29"/>
      <c r="Z657" s="29"/>
    </row>
    <row r="658" ht="18.75" customHeight="1">
      <c r="A658" s="37"/>
      <c r="B658" s="38"/>
      <c r="C658" s="29"/>
      <c r="D658" s="39"/>
      <c r="E658" s="29"/>
      <c r="F658" s="40"/>
      <c r="G658" s="40"/>
      <c r="H658" s="40"/>
      <c r="I658" s="29"/>
      <c r="J658" s="29"/>
      <c r="K658" s="29"/>
      <c r="L658" s="29"/>
      <c r="M658" s="29"/>
      <c r="N658" s="29"/>
      <c r="O658" s="29"/>
      <c r="P658" s="29"/>
      <c r="Q658" s="29"/>
      <c r="R658" s="29"/>
      <c r="S658" s="29"/>
      <c r="T658" s="29"/>
      <c r="U658" s="29"/>
      <c r="V658" s="29"/>
      <c r="W658" s="29"/>
      <c r="X658" s="29"/>
      <c r="Y658" s="29"/>
      <c r="Z658" s="29"/>
    </row>
    <row r="659" ht="18.75" customHeight="1">
      <c r="A659" s="37"/>
      <c r="B659" s="38"/>
      <c r="C659" s="29"/>
      <c r="D659" s="39"/>
      <c r="E659" s="29"/>
      <c r="F659" s="40"/>
      <c r="G659" s="40"/>
      <c r="H659" s="40"/>
      <c r="I659" s="29"/>
      <c r="J659" s="29"/>
      <c r="K659" s="29"/>
      <c r="L659" s="29"/>
      <c r="M659" s="29"/>
      <c r="N659" s="29"/>
      <c r="O659" s="29"/>
      <c r="P659" s="29"/>
      <c r="Q659" s="29"/>
      <c r="R659" s="29"/>
      <c r="S659" s="29"/>
      <c r="T659" s="29"/>
      <c r="U659" s="29"/>
      <c r="V659" s="29"/>
      <c r="W659" s="29"/>
      <c r="X659" s="29"/>
      <c r="Y659" s="29"/>
      <c r="Z659" s="29"/>
    </row>
    <row r="660" ht="18.75" customHeight="1">
      <c r="A660" s="37"/>
      <c r="B660" s="38"/>
      <c r="C660" s="29"/>
      <c r="D660" s="39"/>
      <c r="E660" s="29"/>
      <c r="F660" s="40"/>
      <c r="G660" s="40"/>
      <c r="H660" s="40"/>
      <c r="I660" s="29"/>
      <c r="J660" s="29"/>
      <c r="K660" s="29"/>
      <c r="L660" s="29"/>
      <c r="M660" s="29"/>
      <c r="N660" s="29"/>
      <c r="O660" s="29"/>
      <c r="P660" s="29"/>
      <c r="Q660" s="29"/>
      <c r="R660" s="29"/>
      <c r="S660" s="29"/>
      <c r="T660" s="29"/>
      <c r="U660" s="29"/>
      <c r="V660" s="29"/>
      <c r="W660" s="29"/>
      <c r="X660" s="29"/>
      <c r="Y660" s="29"/>
      <c r="Z660" s="29"/>
    </row>
    <row r="661" ht="18.75" customHeight="1">
      <c r="A661" s="37"/>
      <c r="B661" s="38"/>
      <c r="C661" s="29"/>
      <c r="D661" s="39"/>
      <c r="E661" s="29"/>
      <c r="F661" s="40"/>
      <c r="G661" s="40"/>
      <c r="H661" s="40"/>
      <c r="I661" s="29"/>
      <c r="J661" s="29"/>
      <c r="K661" s="29"/>
      <c r="L661" s="29"/>
      <c r="M661" s="29"/>
      <c r="N661" s="29"/>
      <c r="O661" s="29"/>
      <c r="P661" s="29"/>
      <c r="Q661" s="29"/>
      <c r="R661" s="29"/>
      <c r="S661" s="29"/>
      <c r="T661" s="29"/>
      <c r="U661" s="29"/>
      <c r="V661" s="29"/>
      <c r="W661" s="29"/>
      <c r="X661" s="29"/>
      <c r="Y661" s="29"/>
      <c r="Z661" s="29"/>
    </row>
    <row r="662" ht="18.75" customHeight="1">
      <c r="A662" s="37"/>
      <c r="B662" s="38"/>
      <c r="C662" s="29"/>
      <c r="D662" s="39"/>
      <c r="E662" s="29"/>
      <c r="F662" s="40"/>
      <c r="G662" s="40"/>
      <c r="H662" s="40"/>
      <c r="I662" s="29"/>
      <c r="J662" s="29"/>
      <c r="K662" s="29"/>
      <c r="L662" s="29"/>
      <c r="M662" s="29"/>
      <c r="N662" s="29"/>
      <c r="O662" s="29"/>
      <c r="P662" s="29"/>
      <c r="Q662" s="29"/>
      <c r="R662" s="29"/>
      <c r="S662" s="29"/>
      <c r="T662" s="29"/>
      <c r="U662" s="29"/>
      <c r="V662" s="29"/>
      <c r="W662" s="29"/>
      <c r="X662" s="29"/>
      <c r="Y662" s="29"/>
      <c r="Z662" s="29"/>
    </row>
    <row r="663" ht="18.75" customHeight="1">
      <c r="A663" s="37"/>
      <c r="B663" s="38"/>
      <c r="C663" s="29"/>
      <c r="D663" s="39"/>
      <c r="E663" s="29"/>
      <c r="F663" s="40"/>
      <c r="G663" s="40"/>
      <c r="H663" s="40"/>
      <c r="I663" s="29"/>
      <c r="J663" s="29"/>
      <c r="K663" s="29"/>
      <c r="L663" s="29"/>
      <c r="M663" s="29"/>
      <c r="N663" s="29"/>
      <c r="O663" s="29"/>
      <c r="P663" s="29"/>
      <c r="Q663" s="29"/>
      <c r="R663" s="29"/>
      <c r="S663" s="29"/>
      <c r="T663" s="29"/>
      <c r="U663" s="29"/>
      <c r="V663" s="29"/>
      <c r="W663" s="29"/>
      <c r="X663" s="29"/>
      <c r="Y663" s="29"/>
      <c r="Z663" s="29"/>
    </row>
    <row r="664" ht="18.75" customHeight="1">
      <c r="A664" s="37"/>
      <c r="B664" s="38"/>
      <c r="C664" s="29"/>
      <c r="D664" s="39"/>
      <c r="E664" s="29"/>
      <c r="F664" s="40"/>
      <c r="G664" s="40"/>
      <c r="H664" s="40"/>
      <c r="I664" s="29"/>
      <c r="J664" s="29"/>
      <c r="K664" s="29"/>
      <c r="L664" s="29"/>
      <c r="M664" s="29"/>
      <c r="N664" s="29"/>
      <c r="O664" s="29"/>
      <c r="P664" s="29"/>
      <c r="Q664" s="29"/>
      <c r="R664" s="29"/>
      <c r="S664" s="29"/>
      <c r="T664" s="29"/>
      <c r="U664" s="29"/>
      <c r="V664" s="29"/>
      <c r="W664" s="29"/>
      <c r="X664" s="29"/>
      <c r="Y664" s="29"/>
      <c r="Z664" s="29"/>
    </row>
    <row r="665" ht="18.75" customHeight="1">
      <c r="A665" s="37"/>
      <c r="B665" s="38"/>
      <c r="C665" s="29"/>
      <c r="D665" s="39"/>
      <c r="E665" s="29"/>
      <c r="F665" s="40"/>
      <c r="G665" s="40"/>
      <c r="H665" s="40"/>
      <c r="I665" s="29"/>
      <c r="J665" s="29"/>
      <c r="K665" s="29"/>
      <c r="L665" s="29"/>
      <c r="M665" s="29"/>
      <c r="N665" s="29"/>
      <c r="O665" s="29"/>
      <c r="P665" s="29"/>
      <c r="Q665" s="29"/>
      <c r="R665" s="29"/>
      <c r="S665" s="29"/>
      <c r="T665" s="29"/>
      <c r="U665" s="29"/>
      <c r="V665" s="29"/>
      <c r="W665" s="29"/>
      <c r="X665" s="29"/>
      <c r="Y665" s="29"/>
      <c r="Z665" s="29"/>
    </row>
    <row r="666" ht="18.75" customHeight="1">
      <c r="A666" s="37"/>
      <c r="B666" s="38"/>
      <c r="C666" s="29"/>
      <c r="D666" s="39"/>
      <c r="E666" s="29"/>
      <c r="F666" s="40"/>
      <c r="G666" s="40"/>
      <c r="H666" s="40"/>
      <c r="I666" s="29"/>
      <c r="J666" s="29"/>
      <c r="K666" s="29"/>
      <c r="L666" s="29"/>
      <c r="M666" s="29"/>
      <c r="N666" s="29"/>
      <c r="O666" s="29"/>
      <c r="P666" s="29"/>
      <c r="Q666" s="29"/>
      <c r="R666" s="29"/>
      <c r="S666" s="29"/>
      <c r="T666" s="29"/>
      <c r="U666" s="29"/>
      <c r="V666" s="29"/>
      <c r="W666" s="29"/>
      <c r="X666" s="29"/>
      <c r="Y666" s="29"/>
      <c r="Z666" s="29"/>
    </row>
    <row r="667" ht="18.75" customHeight="1">
      <c r="A667" s="37"/>
      <c r="B667" s="38"/>
      <c r="C667" s="29"/>
      <c r="D667" s="39"/>
      <c r="E667" s="29"/>
      <c r="F667" s="40"/>
      <c r="G667" s="40"/>
      <c r="H667" s="40"/>
      <c r="I667" s="29"/>
      <c r="J667" s="29"/>
      <c r="K667" s="29"/>
      <c r="L667" s="29"/>
      <c r="M667" s="29"/>
      <c r="N667" s="29"/>
      <c r="O667" s="29"/>
      <c r="P667" s="29"/>
      <c r="Q667" s="29"/>
      <c r="R667" s="29"/>
      <c r="S667" s="29"/>
      <c r="T667" s="29"/>
      <c r="U667" s="29"/>
      <c r="V667" s="29"/>
      <c r="W667" s="29"/>
      <c r="X667" s="29"/>
      <c r="Y667" s="29"/>
      <c r="Z667" s="29"/>
    </row>
    <row r="668" ht="18.75" customHeight="1">
      <c r="A668" s="37"/>
      <c r="B668" s="38"/>
      <c r="C668" s="29"/>
      <c r="D668" s="39"/>
      <c r="E668" s="29"/>
      <c r="F668" s="40"/>
      <c r="G668" s="40"/>
      <c r="H668" s="40"/>
      <c r="I668" s="29"/>
      <c r="J668" s="29"/>
      <c r="K668" s="29"/>
      <c r="L668" s="29"/>
      <c r="M668" s="29"/>
      <c r="N668" s="29"/>
      <c r="O668" s="29"/>
      <c r="P668" s="29"/>
      <c r="Q668" s="29"/>
      <c r="R668" s="29"/>
      <c r="S668" s="29"/>
      <c r="T668" s="29"/>
      <c r="U668" s="29"/>
      <c r="V668" s="29"/>
      <c r="W668" s="29"/>
      <c r="X668" s="29"/>
      <c r="Y668" s="29"/>
      <c r="Z668" s="29"/>
    </row>
    <row r="669" ht="18.75" customHeight="1">
      <c r="A669" s="37"/>
      <c r="B669" s="38"/>
      <c r="C669" s="29"/>
      <c r="D669" s="39"/>
      <c r="E669" s="29"/>
      <c r="F669" s="40"/>
      <c r="G669" s="40"/>
      <c r="H669" s="40"/>
      <c r="I669" s="29"/>
      <c r="J669" s="29"/>
      <c r="K669" s="29"/>
      <c r="L669" s="29"/>
      <c r="M669" s="29"/>
      <c r="N669" s="29"/>
      <c r="O669" s="29"/>
      <c r="P669" s="29"/>
      <c r="Q669" s="29"/>
      <c r="R669" s="29"/>
      <c r="S669" s="29"/>
      <c r="T669" s="29"/>
      <c r="U669" s="29"/>
      <c r="V669" s="29"/>
      <c r="W669" s="29"/>
      <c r="X669" s="29"/>
      <c r="Y669" s="29"/>
      <c r="Z669" s="29"/>
    </row>
    <row r="670" ht="18.75" customHeight="1">
      <c r="A670" s="37"/>
      <c r="B670" s="38"/>
      <c r="C670" s="29"/>
      <c r="D670" s="39"/>
      <c r="E670" s="29"/>
      <c r="F670" s="40"/>
      <c r="G670" s="40"/>
      <c r="H670" s="40"/>
      <c r="I670" s="29"/>
      <c r="J670" s="29"/>
      <c r="K670" s="29"/>
      <c r="L670" s="29"/>
      <c r="M670" s="29"/>
      <c r="N670" s="29"/>
      <c r="O670" s="29"/>
      <c r="P670" s="29"/>
      <c r="Q670" s="29"/>
      <c r="R670" s="29"/>
      <c r="S670" s="29"/>
      <c r="T670" s="29"/>
      <c r="U670" s="29"/>
      <c r="V670" s="29"/>
      <c r="W670" s="29"/>
      <c r="X670" s="29"/>
      <c r="Y670" s="29"/>
      <c r="Z670" s="29"/>
    </row>
    <row r="671" ht="18.75" customHeight="1">
      <c r="A671" s="37"/>
      <c r="B671" s="38"/>
      <c r="C671" s="29"/>
      <c r="D671" s="39"/>
      <c r="E671" s="29"/>
      <c r="F671" s="40"/>
      <c r="G671" s="40"/>
      <c r="H671" s="40"/>
      <c r="I671" s="29"/>
      <c r="J671" s="29"/>
      <c r="K671" s="29"/>
      <c r="L671" s="29"/>
      <c r="M671" s="29"/>
      <c r="N671" s="29"/>
      <c r="O671" s="29"/>
      <c r="P671" s="29"/>
      <c r="Q671" s="29"/>
      <c r="R671" s="29"/>
      <c r="S671" s="29"/>
      <c r="T671" s="29"/>
      <c r="U671" s="29"/>
      <c r="V671" s="29"/>
      <c r="W671" s="29"/>
      <c r="X671" s="29"/>
      <c r="Y671" s="29"/>
      <c r="Z671" s="29"/>
    </row>
    <row r="672" ht="18.75" customHeight="1">
      <c r="A672" s="37"/>
      <c r="B672" s="38"/>
      <c r="C672" s="29"/>
      <c r="D672" s="39"/>
      <c r="E672" s="29"/>
      <c r="F672" s="40"/>
      <c r="G672" s="40"/>
      <c r="H672" s="40"/>
      <c r="I672" s="29"/>
      <c r="J672" s="29"/>
      <c r="K672" s="29"/>
      <c r="L672" s="29"/>
      <c r="M672" s="29"/>
      <c r="N672" s="29"/>
      <c r="O672" s="29"/>
      <c r="P672" s="29"/>
      <c r="Q672" s="29"/>
      <c r="R672" s="29"/>
      <c r="S672" s="29"/>
      <c r="T672" s="29"/>
      <c r="U672" s="29"/>
      <c r="V672" s="29"/>
      <c r="W672" s="29"/>
      <c r="X672" s="29"/>
      <c r="Y672" s="29"/>
      <c r="Z672" s="29"/>
    </row>
    <row r="673" ht="18.75" customHeight="1">
      <c r="A673" s="37"/>
      <c r="B673" s="38"/>
      <c r="C673" s="29"/>
      <c r="D673" s="39"/>
      <c r="E673" s="29"/>
      <c r="F673" s="40"/>
      <c r="G673" s="40"/>
      <c r="H673" s="40"/>
      <c r="I673" s="29"/>
      <c r="J673" s="29"/>
      <c r="K673" s="29"/>
      <c r="L673" s="29"/>
      <c r="M673" s="29"/>
      <c r="N673" s="29"/>
      <c r="O673" s="29"/>
      <c r="P673" s="29"/>
      <c r="Q673" s="29"/>
      <c r="R673" s="29"/>
      <c r="S673" s="29"/>
      <c r="T673" s="29"/>
      <c r="U673" s="29"/>
      <c r="V673" s="29"/>
      <c r="W673" s="29"/>
      <c r="X673" s="29"/>
      <c r="Y673" s="29"/>
      <c r="Z673" s="29"/>
    </row>
    <row r="674" ht="18.75" customHeight="1">
      <c r="A674" s="37"/>
      <c r="B674" s="38"/>
      <c r="C674" s="29"/>
      <c r="D674" s="39"/>
      <c r="E674" s="29"/>
      <c r="F674" s="40"/>
      <c r="G674" s="40"/>
      <c r="H674" s="40"/>
      <c r="I674" s="29"/>
      <c r="J674" s="29"/>
      <c r="K674" s="29"/>
      <c r="L674" s="29"/>
      <c r="M674" s="29"/>
      <c r="N674" s="29"/>
      <c r="O674" s="29"/>
      <c r="P674" s="29"/>
      <c r="Q674" s="29"/>
      <c r="R674" s="29"/>
      <c r="S674" s="29"/>
      <c r="T674" s="29"/>
      <c r="U674" s="29"/>
      <c r="V674" s="29"/>
      <c r="W674" s="29"/>
      <c r="X674" s="29"/>
      <c r="Y674" s="29"/>
      <c r="Z674" s="29"/>
    </row>
    <row r="675" ht="18.75" customHeight="1">
      <c r="A675" s="37"/>
      <c r="B675" s="38"/>
      <c r="C675" s="29"/>
      <c r="D675" s="39"/>
      <c r="E675" s="29"/>
      <c r="F675" s="40"/>
      <c r="G675" s="40"/>
      <c r="H675" s="40"/>
      <c r="I675" s="29"/>
      <c r="J675" s="29"/>
      <c r="K675" s="29"/>
      <c r="L675" s="29"/>
      <c r="M675" s="29"/>
      <c r="N675" s="29"/>
      <c r="O675" s="29"/>
      <c r="P675" s="29"/>
      <c r="Q675" s="29"/>
      <c r="R675" s="29"/>
      <c r="S675" s="29"/>
      <c r="T675" s="29"/>
      <c r="U675" s="29"/>
      <c r="V675" s="29"/>
      <c r="W675" s="29"/>
      <c r="X675" s="29"/>
      <c r="Y675" s="29"/>
      <c r="Z675" s="29"/>
    </row>
    <row r="676" ht="18.75" customHeight="1">
      <c r="A676" s="37"/>
      <c r="B676" s="38"/>
      <c r="C676" s="29"/>
      <c r="D676" s="39"/>
      <c r="E676" s="29"/>
      <c r="F676" s="40"/>
      <c r="G676" s="40"/>
      <c r="H676" s="40"/>
      <c r="I676" s="29"/>
      <c r="J676" s="29"/>
      <c r="K676" s="29"/>
      <c r="L676" s="29"/>
      <c r="M676" s="29"/>
      <c r="N676" s="29"/>
      <c r="O676" s="29"/>
      <c r="P676" s="29"/>
      <c r="Q676" s="29"/>
      <c r="R676" s="29"/>
      <c r="S676" s="29"/>
      <c r="T676" s="29"/>
      <c r="U676" s="29"/>
      <c r="V676" s="29"/>
      <c r="W676" s="29"/>
      <c r="X676" s="29"/>
      <c r="Y676" s="29"/>
      <c r="Z676" s="29"/>
    </row>
    <row r="677" ht="18.75" customHeight="1">
      <c r="A677" s="37"/>
      <c r="B677" s="38"/>
      <c r="C677" s="29"/>
      <c r="D677" s="39"/>
      <c r="E677" s="29"/>
      <c r="F677" s="40"/>
      <c r="G677" s="40"/>
      <c r="H677" s="40"/>
      <c r="I677" s="29"/>
      <c r="J677" s="29"/>
      <c r="K677" s="29"/>
      <c r="L677" s="29"/>
      <c r="M677" s="29"/>
      <c r="N677" s="29"/>
      <c r="O677" s="29"/>
      <c r="P677" s="29"/>
      <c r="Q677" s="29"/>
      <c r="R677" s="29"/>
      <c r="S677" s="29"/>
      <c r="T677" s="29"/>
      <c r="U677" s="29"/>
      <c r="V677" s="29"/>
      <c r="W677" s="29"/>
      <c r="X677" s="29"/>
      <c r="Y677" s="29"/>
      <c r="Z677" s="29"/>
    </row>
    <row r="678" ht="18.75" customHeight="1">
      <c r="A678" s="37"/>
      <c r="B678" s="38"/>
      <c r="C678" s="29"/>
      <c r="D678" s="39"/>
      <c r="E678" s="29"/>
      <c r="F678" s="40"/>
      <c r="G678" s="40"/>
      <c r="H678" s="40"/>
      <c r="I678" s="29"/>
      <c r="J678" s="29"/>
      <c r="K678" s="29"/>
      <c r="L678" s="29"/>
      <c r="M678" s="29"/>
      <c r="N678" s="29"/>
      <c r="O678" s="29"/>
      <c r="P678" s="29"/>
      <c r="Q678" s="29"/>
      <c r="R678" s="29"/>
      <c r="S678" s="29"/>
      <c r="T678" s="29"/>
      <c r="U678" s="29"/>
      <c r="V678" s="29"/>
      <c r="W678" s="29"/>
      <c r="X678" s="29"/>
      <c r="Y678" s="29"/>
      <c r="Z678" s="29"/>
    </row>
    <row r="679" ht="18.75" customHeight="1">
      <c r="A679" s="37"/>
      <c r="B679" s="38"/>
      <c r="C679" s="29"/>
      <c r="D679" s="39"/>
      <c r="E679" s="29"/>
      <c r="F679" s="40"/>
      <c r="G679" s="40"/>
      <c r="H679" s="40"/>
      <c r="I679" s="29"/>
      <c r="J679" s="29"/>
      <c r="K679" s="29"/>
      <c r="L679" s="29"/>
      <c r="M679" s="29"/>
      <c r="N679" s="29"/>
      <c r="O679" s="29"/>
      <c r="P679" s="29"/>
      <c r="Q679" s="29"/>
      <c r="R679" s="29"/>
      <c r="S679" s="29"/>
      <c r="T679" s="29"/>
      <c r="U679" s="29"/>
      <c r="V679" s="29"/>
      <c r="W679" s="29"/>
      <c r="X679" s="29"/>
      <c r="Y679" s="29"/>
      <c r="Z679" s="29"/>
    </row>
    <row r="680" ht="18.75" customHeight="1">
      <c r="A680" s="37"/>
      <c r="B680" s="38"/>
      <c r="C680" s="29"/>
      <c r="D680" s="39"/>
      <c r="E680" s="29"/>
      <c r="F680" s="40"/>
      <c r="G680" s="40"/>
      <c r="H680" s="40"/>
      <c r="I680" s="29"/>
      <c r="J680" s="29"/>
      <c r="K680" s="29"/>
      <c r="L680" s="29"/>
      <c r="M680" s="29"/>
      <c r="N680" s="29"/>
      <c r="O680" s="29"/>
      <c r="P680" s="29"/>
      <c r="Q680" s="29"/>
      <c r="R680" s="29"/>
      <c r="S680" s="29"/>
      <c r="T680" s="29"/>
      <c r="U680" s="29"/>
      <c r="V680" s="29"/>
      <c r="W680" s="29"/>
      <c r="X680" s="29"/>
      <c r="Y680" s="29"/>
      <c r="Z680" s="29"/>
    </row>
    <row r="681" ht="18.75" customHeight="1">
      <c r="A681" s="37"/>
      <c r="B681" s="38"/>
      <c r="C681" s="29"/>
      <c r="D681" s="39"/>
      <c r="E681" s="29"/>
      <c r="F681" s="40"/>
      <c r="G681" s="40"/>
      <c r="H681" s="40"/>
      <c r="I681" s="29"/>
      <c r="J681" s="29"/>
      <c r="K681" s="29"/>
      <c r="L681" s="29"/>
      <c r="M681" s="29"/>
      <c r="N681" s="29"/>
      <c r="O681" s="29"/>
      <c r="P681" s="29"/>
      <c r="Q681" s="29"/>
      <c r="R681" s="29"/>
      <c r="S681" s="29"/>
      <c r="T681" s="29"/>
      <c r="U681" s="29"/>
      <c r="V681" s="29"/>
      <c r="W681" s="29"/>
      <c r="X681" s="29"/>
      <c r="Y681" s="29"/>
      <c r="Z681" s="29"/>
    </row>
    <row r="682" ht="18.75" customHeight="1">
      <c r="A682" s="37"/>
      <c r="B682" s="38"/>
      <c r="C682" s="29"/>
      <c r="D682" s="39"/>
      <c r="E682" s="29"/>
      <c r="F682" s="40"/>
      <c r="G682" s="40"/>
      <c r="H682" s="40"/>
      <c r="I682" s="29"/>
      <c r="J682" s="29"/>
      <c r="K682" s="29"/>
      <c r="L682" s="29"/>
      <c r="M682" s="29"/>
      <c r="N682" s="29"/>
      <c r="O682" s="29"/>
      <c r="P682" s="29"/>
      <c r="Q682" s="29"/>
      <c r="R682" s="29"/>
      <c r="S682" s="29"/>
      <c r="T682" s="29"/>
      <c r="U682" s="29"/>
      <c r="V682" s="29"/>
      <c r="W682" s="29"/>
      <c r="X682" s="29"/>
      <c r="Y682" s="29"/>
      <c r="Z682" s="29"/>
    </row>
    <row r="683" ht="18.75" customHeight="1">
      <c r="A683" s="37"/>
      <c r="B683" s="38"/>
      <c r="C683" s="29"/>
      <c r="D683" s="39"/>
      <c r="E683" s="29"/>
      <c r="F683" s="40"/>
      <c r="G683" s="40"/>
      <c r="H683" s="40"/>
      <c r="I683" s="29"/>
      <c r="J683" s="29"/>
      <c r="K683" s="29"/>
      <c r="L683" s="29"/>
      <c r="M683" s="29"/>
      <c r="N683" s="29"/>
      <c r="O683" s="29"/>
      <c r="P683" s="29"/>
      <c r="Q683" s="29"/>
      <c r="R683" s="29"/>
      <c r="S683" s="29"/>
      <c r="T683" s="29"/>
      <c r="U683" s="29"/>
      <c r="V683" s="29"/>
      <c r="W683" s="29"/>
      <c r="X683" s="29"/>
      <c r="Y683" s="29"/>
      <c r="Z683" s="29"/>
    </row>
    <row r="684" ht="18.75" customHeight="1">
      <c r="A684" s="37"/>
      <c r="B684" s="38"/>
      <c r="C684" s="29"/>
      <c r="D684" s="39"/>
      <c r="E684" s="29"/>
      <c r="F684" s="40"/>
      <c r="G684" s="40"/>
      <c r="H684" s="40"/>
      <c r="I684" s="29"/>
      <c r="J684" s="29"/>
      <c r="K684" s="29"/>
      <c r="L684" s="29"/>
      <c r="M684" s="29"/>
      <c r="N684" s="29"/>
      <c r="O684" s="29"/>
      <c r="P684" s="29"/>
      <c r="Q684" s="29"/>
      <c r="R684" s="29"/>
      <c r="S684" s="29"/>
      <c r="T684" s="29"/>
      <c r="U684" s="29"/>
      <c r="V684" s="29"/>
      <c r="W684" s="29"/>
      <c r="X684" s="29"/>
      <c r="Y684" s="29"/>
      <c r="Z684" s="29"/>
    </row>
    <row r="685" ht="18.75" customHeight="1">
      <c r="A685" s="37"/>
      <c r="B685" s="38"/>
      <c r="C685" s="29"/>
      <c r="D685" s="39"/>
      <c r="E685" s="29"/>
      <c r="F685" s="40"/>
      <c r="G685" s="40"/>
      <c r="H685" s="40"/>
      <c r="I685" s="29"/>
      <c r="J685" s="29"/>
      <c r="K685" s="29"/>
      <c r="L685" s="29"/>
      <c r="M685" s="29"/>
      <c r="N685" s="29"/>
      <c r="O685" s="29"/>
      <c r="P685" s="29"/>
      <c r="Q685" s="29"/>
      <c r="R685" s="29"/>
      <c r="S685" s="29"/>
      <c r="T685" s="29"/>
      <c r="U685" s="29"/>
      <c r="V685" s="29"/>
      <c r="W685" s="29"/>
      <c r="X685" s="29"/>
      <c r="Y685" s="29"/>
      <c r="Z685" s="29"/>
    </row>
    <row r="686" ht="18.75" customHeight="1">
      <c r="A686" s="37"/>
      <c r="B686" s="38"/>
      <c r="C686" s="29"/>
      <c r="D686" s="39"/>
      <c r="E686" s="29"/>
      <c r="F686" s="40"/>
      <c r="G686" s="40"/>
      <c r="H686" s="40"/>
      <c r="I686" s="29"/>
      <c r="J686" s="29"/>
      <c r="K686" s="29"/>
      <c r="L686" s="29"/>
      <c r="M686" s="29"/>
      <c r="N686" s="29"/>
      <c r="O686" s="29"/>
      <c r="P686" s="29"/>
      <c r="Q686" s="29"/>
      <c r="R686" s="29"/>
      <c r="S686" s="29"/>
      <c r="T686" s="29"/>
      <c r="U686" s="29"/>
      <c r="V686" s="29"/>
      <c r="W686" s="29"/>
      <c r="X686" s="29"/>
      <c r="Y686" s="29"/>
      <c r="Z686" s="29"/>
    </row>
    <row r="687" ht="18.75" customHeight="1">
      <c r="A687" s="37"/>
      <c r="B687" s="38"/>
      <c r="C687" s="29"/>
      <c r="D687" s="39"/>
      <c r="E687" s="29"/>
      <c r="F687" s="40"/>
      <c r="G687" s="40"/>
      <c r="H687" s="40"/>
      <c r="I687" s="29"/>
      <c r="J687" s="29"/>
      <c r="K687" s="29"/>
      <c r="L687" s="29"/>
      <c r="M687" s="29"/>
      <c r="N687" s="29"/>
      <c r="O687" s="29"/>
      <c r="P687" s="29"/>
      <c r="Q687" s="29"/>
      <c r="R687" s="29"/>
      <c r="S687" s="29"/>
      <c r="T687" s="29"/>
      <c r="U687" s="29"/>
      <c r="V687" s="29"/>
      <c r="W687" s="29"/>
      <c r="X687" s="29"/>
      <c r="Y687" s="29"/>
      <c r="Z687" s="29"/>
    </row>
    <row r="688" ht="18.75" customHeight="1">
      <c r="A688" s="37"/>
      <c r="B688" s="38"/>
      <c r="C688" s="29"/>
      <c r="D688" s="39"/>
      <c r="E688" s="29"/>
      <c r="F688" s="40"/>
      <c r="G688" s="40"/>
      <c r="H688" s="40"/>
      <c r="I688" s="29"/>
      <c r="J688" s="29"/>
      <c r="K688" s="29"/>
      <c r="L688" s="29"/>
      <c r="M688" s="29"/>
      <c r="N688" s="29"/>
      <c r="O688" s="29"/>
      <c r="P688" s="29"/>
      <c r="Q688" s="29"/>
      <c r="R688" s="29"/>
      <c r="S688" s="29"/>
      <c r="T688" s="29"/>
      <c r="U688" s="29"/>
      <c r="V688" s="29"/>
      <c r="W688" s="29"/>
      <c r="X688" s="29"/>
      <c r="Y688" s="29"/>
      <c r="Z688" s="29"/>
    </row>
    <row r="689" ht="18.75" customHeight="1">
      <c r="A689" s="37"/>
      <c r="B689" s="38"/>
      <c r="C689" s="29"/>
      <c r="D689" s="39"/>
      <c r="E689" s="29"/>
      <c r="F689" s="40"/>
      <c r="G689" s="40"/>
      <c r="H689" s="40"/>
      <c r="I689" s="29"/>
      <c r="J689" s="29"/>
      <c r="K689" s="29"/>
      <c r="L689" s="29"/>
      <c r="M689" s="29"/>
      <c r="N689" s="29"/>
      <c r="O689" s="29"/>
      <c r="P689" s="29"/>
      <c r="Q689" s="29"/>
      <c r="R689" s="29"/>
      <c r="S689" s="29"/>
      <c r="T689" s="29"/>
      <c r="U689" s="29"/>
      <c r="V689" s="29"/>
      <c r="W689" s="29"/>
      <c r="X689" s="29"/>
      <c r="Y689" s="29"/>
      <c r="Z689" s="29"/>
    </row>
    <row r="690" ht="18.75" customHeight="1">
      <c r="A690" s="37"/>
      <c r="B690" s="38"/>
      <c r="C690" s="29"/>
      <c r="D690" s="39"/>
      <c r="E690" s="29"/>
      <c r="F690" s="40"/>
      <c r="G690" s="40"/>
      <c r="H690" s="40"/>
      <c r="I690" s="29"/>
      <c r="J690" s="29"/>
      <c r="K690" s="29"/>
      <c r="L690" s="29"/>
      <c r="M690" s="29"/>
      <c r="N690" s="29"/>
      <c r="O690" s="29"/>
      <c r="P690" s="29"/>
      <c r="Q690" s="29"/>
      <c r="R690" s="29"/>
      <c r="S690" s="29"/>
      <c r="T690" s="29"/>
      <c r="U690" s="29"/>
      <c r="V690" s="29"/>
      <c r="W690" s="29"/>
      <c r="X690" s="29"/>
      <c r="Y690" s="29"/>
      <c r="Z690" s="29"/>
    </row>
    <row r="691" ht="18.75" customHeight="1">
      <c r="A691" s="37"/>
      <c r="B691" s="38"/>
      <c r="C691" s="29"/>
      <c r="D691" s="39"/>
      <c r="E691" s="29"/>
      <c r="F691" s="40"/>
      <c r="G691" s="40"/>
      <c r="H691" s="40"/>
      <c r="I691" s="29"/>
      <c r="J691" s="29"/>
      <c r="K691" s="29"/>
      <c r="L691" s="29"/>
      <c r="M691" s="29"/>
      <c r="N691" s="29"/>
      <c r="O691" s="29"/>
      <c r="P691" s="29"/>
      <c r="Q691" s="29"/>
      <c r="R691" s="29"/>
      <c r="S691" s="29"/>
      <c r="T691" s="29"/>
      <c r="U691" s="29"/>
      <c r="V691" s="29"/>
      <c r="W691" s="29"/>
      <c r="X691" s="29"/>
      <c r="Y691" s="29"/>
      <c r="Z691" s="29"/>
    </row>
    <row r="692" ht="18.75" customHeight="1">
      <c r="A692" s="37"/>
      <c r="B692" s="38"/>
      <c r="C692" s="29"/>
      <c r="D692" s="39"/>
      <c r="E692" s="29"/>
      <c r="F692" s="40"/>
      <c r="G692" s="40"/>
      <c r="H692" s="40"/>
      <c r="I692" s="29"/>
      <c r="J692" s="29"/>
      <c r="K692" s="29"/>
      <c r="L692" s="29"/>
      <c r="M692" s="29"/>
      <c r="N692" s="29"/>
      <c r="O692" s="29"/>
      <c r="P692" s="29"/>
      <c r="Q692" s="29"/>
      <c r="R692" s="29"/>
      <c r="S692" s="29"/>
      <c r="T692" s="29"/>
      <c r="U692" s="29"/>
      <c r="V692" s="29"/>
      <c r="W692" s="29"/>
      <c r="X692" s="29"/>
      <c r="Y692" s="29"/>
      <c r="Z692" s="29"/>
    </row>
    <row r="693" ht="18.75" customHeight="1">
      <c r="A693" s="37"/>
      <c r="B693" s="38"/>
      <c r="C693" s="29"/>
      <c r="D693" s="39"/>
      <c r="E693" s="29"/>
      <c r="F693" s="40"/>
      <c r="G693" s="40"/>
      <c r="H693" s="40"/>
      <c r="I693" s="29"/>
      <c r="J693" s="29"/>
      <c r="K693" s="29"/>
      <c r="L693" s="29"/>
      <c r="M693" s="29"/>
      <c r="N693" s="29"/>
      <c r="O693" s="29"/>
      <c r="P693" s="29"/>
      <c r="Q693" s="29"/>
      <c r="R693" s="29"/>
      <c r="S693" s="29"/>
      <c r="T693" s="29"/>
      <c r="U693" s="29"/>
      <c r="V693" s="29"/>
      <c r="W693" s="29"/>
      <c r="X693" s="29"/>
      <c r="Y693" s="29"/>
      <c r="Z693" s="29"/>
    </row>
    <row r="694" ht="18.75" customHeight="1">
      <c r="A694" s="37"/>
      <c r="B694" s="38"/>
      <c r="C694" s="29"/>
      <c r="D694" s="39"/>
      <c r="E694" s="29"/>
      <c r="F694" s="40"/>
      <c r="G694" s="40"/>
      <c r="H694" s="40"/>
      <c r="I694" s="29"/>
      <c r="J694" s="29"/>
      <c r="K694" s="29"/>
      <c r="L694" s="29"/>
      <c r="M694" s="29"/>
      <c r="N694" s="29"/>
      <c r="O694" s="29"/>
      <c r="P694" s="29"/>
      <c r="Q694" s="29"/>
      <c r="R694" s="29"/>
      <c r="S694" s="29"/>
      <c r="T694" s="29"/>
      <c r="U694" s="29"/>
      <c r="V694" s="29"/>
      <c r="W694" s="29"/>
      <c r="X694" s="29"/>
      <c r="Y694" s="29"/>
      <c r="Z694" s="29"/>
    </row>
    <row r="695" ht="18.75" customHeight="1">
      <c r="A695" s="37"/>
      <c r="B695" s="38"/>
      <c r="C695" s="29"/>
      <c r="D695" s="39"/>
      <c r="E695" s="29"/>
      <c r="F695" s="40"/>
      <c r="G695" s="40"/>
      <c r="H695" s="40"/>
      <c r="I695" s="29"/>
      <c r="J695" s="29"/>
      <c r="K695" s="29"/>
      <c r="L695" s="29"/>
      <c r="M695" s="29"/>
      <c r="N695" s="29"/>
      <c r="O695" s="29"/>
      <c r="P695" s="29"/>
      <c r="Q695" s="29"/>
      <c r="R695" s="29"/>
      <c r="S695" s="29"/>
      <c r="T695" s="29"/>
      <c r="U695" s="29"/>
      <c r="V695" s="29"/>
      <c r="W695" s="29"/>
      <c r="X695" s="29"/>
      <c r="Y695" s="29"/>
      <c r="Z695" s="29"/>
    </row>
    <row r="696" ht="18.75" customHeight="1">
      <c r="A696" s="37"/>
      <c r="B696" s="38"/>
      <c r="C696" s="29"/>
      <c r="D696" s="39"/>
      <c r="E696" s="29"/>
      <c r="F696" s="40"/>
      <c r="G696" s="40"/>
      <c r="H696" s="40"/>
      <c r="I696" s="29"/>
      <c r="J696" s="29"/>
      <c r="K696" s="29"/>
      <c r="L696" s="29"/>
      <c r="M696" s="29"/>
      <c r="N696" s="29"/>
      <c r="O696" s="29"/>
      <c r="P696" s="29"/>
      <c r="Q696" s="29"/>
      <c r="R696" s="29"/>
      <c r="S696" s="29"/>
      <c r="T696" s="29"/>
      <c r="U696" s="29"/>
      <c r="V696" s="29"/>
      <c r="W696" s="29"/>
      <c r="X696" s="29"/>
      <c r="Y696" s="29"/>
      <c r="Z696" s="29"/>
    </row>
    <row r="697" ht="18.75" customHeight="1">
      <c r="A697" s="37"/>
      <c r="B697" s="38"/>
      <c r="C697" s="29"/>
      <c r="D697" s="39"/>
      <c r="E697" s="29"/>
      <c r="F697" s="40"/>
      <c r="G697" s="40"/>
      <c r="H697" s="40"/>
      <c r="I697" s="29"/>
      <c r="J697" s="29"/>
      <c r="K697" s="29"/>
      <c r="L697" s="29"/>
      <c r="M697" s="29"/>
      <c r="N697" s="29"/>
      <c r="O697" s="29"/>
      <c r="P697" s="29"/>
      <c r="Q697" s="29"/>
      <c r="R697" s="29"/>
      <c r="S697" s="29"/>
      <c r="T697" s="29"/>
      <c r="U697" s="29"/>
      <c r="V697" s="29"/>
      <c r="W697" s="29"/>
      <c r="X697" s="29"/>
      <c r="Y697" s="29"/>
      <c r="Z697" s="29"/>
    </row>
    <row r="698" ht="18.75" customHeight="1">
      <c r="A698" s="37"/>
      <c r="B698" s="38"/>
      <c r="C698" s="29"/>
      <c r="D698" s="39"/>
      <c r="E698" s="29"/>
      <c r="F698" s="40"/>
      <c r="G698" s="40"/>
      <c r="H698" s="40"/>
      <c r="I698" s="29"/>
      <c r="J698" s="29"/>
      <c r="K698" s="29"/>
      <c r="L698" s="29"/>
      <c r="M698" s="29"/>
      <c r="N698" s="29"/>
      <c r="O698" s="29"/>
      <c r="P698" s="29"/>
      <c r="Q698" s="29"/>
      <c r="R698" s="29"/>
      <c r="S698" s="29"/>
      <c r="T698" s="29"/>
      <c r="U698" s="29"/>
      <c r="V698" s="29"/>
      <c r="W698" s="29"/>
      <c r="X698" s="29"/>
      <c r="Y698" s="29"/>
      <c r="Z698" s="29"/>
    </row>
    <row r="699" ht="18.75" customHeight="1">
      <c r="A699" s="37"/>
      <c r="B699" s="38"/>
      <c r="C699" s="29"/>
      <c r="D699" s="39"/>
      <c r="E699" s="29"/>
      <c r="F699" s="40"/>
      <c r="G699" s="40"/>
      <c r="H699" s="40"/>
      <c r="I699" s="29"/>
      <c r="J699" s="29"/>
      <c r="K699" s="29"/>
      <c r="L699" s="29"/>
      <c r="M699" s="29"/>
      <c r="N699" s="29"/>
      <c r="O699" s="29"/>
      <c r="P699" s="29"/>
      <c r="Q699" s="29"/>
      <c r="R699" s="29"/>
      <c r="S699" s="29"/>
      <c r="T699" s="29"/>
      <c r="U699" s="29"/>
      <c r="V699" s="29"/>
      <c r="W699" s="29"/>
      <c r="X699" s="29"/>
      <c r="Y699" s="29"/>
      <c r="Z699" s="29"/>
    </row>
    <row r="700" ht="18.75" customHeight="1">
      <c r="A700" s="37"/>
      <c r="B700" s="38"/>
      <c r="C700" s="29"/>
      <c r="D700" s="39"/>
      <c r="E700" s="29"/>
      <c r="F700" s="40"/>
      <c r="G700" s="40"/>
      <c r="H700" s="40"/>
      <c r="I700" s="29"/>
      <c r="J700" s="29"/>
      <c r="K700" s="29"/>
      <c r="L700" s="29"/>
      <c r="M700" s="29"/>
      <c r="N700" s="29"/>
      <c r="O700" s="29"/>
      <c r="P700" s="29"/>
      <c r="Q700" s="29"/>
      <c r="R700" s="29"/>
      <c r="S700" s="29"/>
      <c r="T700" s="29"/>
      <c r="U700" s="29"/>
      <c r="V700" s="29"/>
      <c r="W700" s="29"/>
      <c r="X700" s="29"/>
      <c r="Y700" s="29"/>
      <c r="Z700" s="29"/>
    </row>
    <row r="701" ht="18.75" customHeight="1">
      <c r="A701" s="37"/>
      <c r="B701" s="38"/>
      <c r="C701" s="29"/>
      <c r="D701" s="39"/>
      <c r="E701" s="29"/>
      <c r="F701" s="40"/>
      <c r="G701" s="40"/>
      <c r="H701" s="40"/>
      <c r="I701" s="29"/>
      <c r="J701" s="29"/>
      <c r="K701" s="29"/>
      <c r="L701" s="29"/>
      <c r="M701" s="29"/>
      <c r="N701" s="29"/>
      <c r="O701" s="29"/>
      <c r="P701" s="29"/>
      <c r="Q701" s="29"/>
      <c r="R701" s="29"/>
      <c r="S701" s="29"/>
      <c r="T701" s="29"/>
      <c r="U701" s="29"/>
      <c r="V701" s="29"/>
      <c r="W701" s="29"/>
      <c r="X701" s="29"/>
      <c r="Y701" s="29"/>
      <c r="Z701" s="29"/>
    </row>
    <row r="702" ht="18.75" customHeight="1">
      <c r="A702" s="37"/>
      <c r="B702" s="38"/>
      <c r="C702" s="29"/>
      <c r="D702" s="39"/>
      <c r="E702" s="29"/>
      <c r="F702" s="40"/>
      <c r="G702" s="40"/>
      <c r="H702" s="40"/>
      <c r="I702" s="29"/>
      <c r="J702" s="29"/>
      <c r="K702" s="29"/>
      <c r="L702" s="29"/>
      <c r="M702" s="29"/>
      <c r="N702" s="29"/>
      <c r="O702" s="29"/>
      <c r="P702" s="29"/>
      <c r="Q702" s="29"/>
      <c r="R702" s="29"/>
      <c r="S702" s="29"/>
      <c r="T702" s="29"/>
      <c r="U702" s="29"/>
      <c r="V702" s="29"/>
      <c r="W702" s="29"/>
      <c r="X702" s="29"/>
      <c r="Y702" s="29"/>
      <c r="Z702" s="29"/>
    </row>
    <row r="703" ht="18.75" customHeight="1">
      <c r="A703" s="37"/>
      <c r="B703" s="38"/>
      <c r="C703" s="29"/>
      <c r="D703" s="39"/>
      <c r="E703" s="29"/>
      <c r="F703" s="40"/>
      <c r="G703" s="40"/>
      <c r="H703" s="40"/>
      <c r="I703" s="29"/>
      <c r="J703" s="29"/>
      <c r="K703" s="29"/>
      <c r="L703" s="29"/>
      <c r="M703" s="29"/>
      <c r="N703" s="29"/>
      <c r="O703" s="29"/>
      <c r="P703" s="29"/>
      <c r="Q703" s="29"/>
      <c r="R703" s="29"/>
      <c r="S703" s="29"/>
      <c r="T703" s="29"/>
      <c r="U703" s="29"/>
      <c r="V703" s="29"/>
      <c r="W703" s="29"/>
      <c r="X703" s="29"/>
      <c r="Y703" s="29"/>
      <c r="Z703" s="29"/>
    </row>
    <row r="704" ht="18.75" customHeight="1">
      <c r="A704" s="37"/>
      <c r="B704" s="38"/>
      <c r="C704" s="29"/>
      <c r="D704" s="39"/>
      <c r="E704" s="29"/>
      <c r="F704" s="40"/>
      <c r="G704" s="40"/>
      <c r="H704" s="40"/>
      <c r="I704" s="29"/>
      <c r="J704" s="29"/>
      <c r="K704" s="29"/>
      <c r="L704" s="29"/>
      <c r="M704" s="29"/>
      <c r="N704" s="29"/>
      <c r="O704" s="29"/>
      <c r="P704" s="29"/>
      <c r="Q704" s="29"/>
      <c r="R704" s="29"/>
      <c r="S704" s="29"/>
      <c r="T704" s="29"/>
      <c r="U704" s="29"/>
      <c r="V704" s="29"/>
      <c r="W704" s="29"/>
      <c r="X704" s="29"/>
      <c r="Y704" s="29"/>
      <c r="Z704" s="29"/>
    </row>
    <row r="705" ht="18.75" customHeight="1">
      <c r="A705" s="37"/>
      <c r="B705" s="38"/>
      <c r="C705" s="29"/>
      <c r="D705" s="39"/>
      <c r="E705" s="29"/>
      <c r="F705" s="40"/>
      <c r="G705" s="40"/>
      <c r="H705" s="40"/>
      <c r="I705" s="29"/>
      <c r="J705" s="29"/>
      <c r="K705" s="29"/>
      <c r="L705" s="29"/>
      <c r="M705" s="29"/>
      <c r="N705" s="29"/>
      <c r="O705" s="29"/>
      <c r="P705" s="29"/>
      <c r="Q705" s="29"/>
      <c r="R705" s="29"/>
      <c r="S705" s="29"/>
      <c r="T705" s="29"/>
      <c r="U705" s="29"/>
      <c r="V705" s="29"/>
      <c r="W705" s="29"/>
      <c r="X705" s="29"/>
      <c r="Y705" s="29"/>
      <c r="Z705" s="29"/>
    </row>
    <row r="706" ht="18.75" customHeight="1">
      <c r="A706" s="37"/>
      <c r="B706" s="38"/>
      <c r="C706" s="29"/>
      <c r="D706" s="39"/>
      <c r="E706" s="29"/>
      <c r="F706" s="40"/>
      <c r="G706" s="40"/>
      <c r="H706" s="40"/>
      <c r="I706" s="29"/>
      <c r="J706" s="29"/>
      <c r="K706" s="29"/>
      <c r="L706" s="29"/>
      <c r="M706" s="29"/>
      <c r="N706" s="29"/>
      <c r="O706" s="29"/>
      <c r="P706" s="29"/>
      <c r="Q706" s="29"/>
      <c r="R706" s="29"/>
      <c r="S706" s="29"/>
      <c r="T706" s="29"/>
      <c r="U706" s="29"/>
      <c r="V706" s="29"/>
      <c r="W706" s="29"/>
      <c r="X706" s="29"/>
      <c r="Y706" s="29"/>
      <c r="Z706" s="29"/>
    </row>
    <row r="707" ht="18.75" customHeight="1">
      <c r="A707" s="37"/>
      <c r="B707" s="38"/>
      <c r="C707" s="29"/>
      <c r="D707" s="39"/>
      <c r="E707" s="29"/>
      <c r="F707" s="40"/>
      <c r="G707" s="40"/>
      <c r="H707" s="40"/>
      <c r="I707" s="29"/>
      <c r="J707" s="29"/>
      <c r="K707" s="29"/>
      <c r="L707" s="29"/>
      <c r="M707" s="29"/>
      <c r="N707" s="29"/>
      <c r="O707" s="29"/>
      <c r="P707" s="29"/>
      <c r="Q707" s="29"/>
      <c r="R707" s="29"/>
      <c r="S707" s="29"/>
      <c r="T707" s="29"/>
      <c r="U707" s="29"/>
      <c r="V707" s="29"/>
      <c r="W707" s="29"/>
      <c r="X707" s="29"/>
      <c r="Y707" s="29"/>
      <c r="Z707" s="29"/>
    </row>
    <row r="708" ht="18.75" customHeight="1">
      <c r="A708" s="37"/>
      <c r="B708" s="38"/>
      <c r="C708" s="29"/>
      <c r="D708" s="39"/>
      <c r="E708" s="29"/>
      <c r="F708" s="40"/>
      <c r="G708" s="40"/>
      <c r="H708" s="40"/>
      <c r="I708" s="29"/>
      <c r="J708" s="29"/>
      <c r="K708" s="29"/>
      <c r="L708" s="29"/>
      <c r="M708" s="29"/>
      <c r="N708" s="29"/>
      <c r="O708" s="29"/>
      <c r="P708" s="29"/>
      <c r="Q708" s="29"/>
      <c r="R708" s="29"/>
      <c r="S708" s="29"/>
      <c r="T708" s="29"/>
      <c r="U708" s="29"/>
      <c r="V708" s="29"/>
      <c r="W708" s="29"/>
      <c r="X708" s="29"/>
      <c r="Y708" s="29"/>
      <c r="Z708" s="29"/>
    </row>
    <row r="709" ht="18.75" customHeight="1">
      <c r="A709" s="37"/>
      <c r="B709" s="38"/>
      <c r="C709" s="29"/>
      <c r="D709" s="39"/>
      <c r="E709" s="29"/>
      <c r="F709" s="40"/>
      <c r="G709" s="40"/>
      <c r="H709" s="40"/>
      <c r="I709" s="29"/>
      <c r="J709" s="29"/>
      <c r="K709" s="29"/>
      <c r="L709" s="29"/>
      <c r="M709" s="29"/>
      <c r="N709" s="29"/>
      <c r="O709" s="29"/>
      <c r="P709" s="29"/>
      <c r="Q709" s="29"/>
      <c r="R709" s="29"/>
      <c r="S709" s="29"/>
      <c r="T709" s="29"/>
      <c r="U709" s="29"/>
      <c r="V709" s="29"/>
      <c r="W709" s="29"/>
      <c r="X709" s="29"/>
      <c r="Y709" s="29"/>
      <c r="Z709" s="29"/>
    </row>
    <row r="710" ht="18.75" customHeight="1">
      <c r="A710" s="37"/>
      <c r="B710" s="38"/>
      <c r="C710" s="29"/>
      <c r="D710" s="39"/>
      <c r="E710" s="29"/>
      <c r="F710" s="40"/>
      <c r="G710" s="40"/>
      <c r="H710" s="40"/>
      <c r="I710" s="29"/>
      <c r="J710" s="29"/>
      <c r="K710" s="29"/>
      <c r="L710" s="29"/>
      <c r="M710" s="29"/>
      <c r="N710" s="29"/>
      <c r="O710" s="29"/>
      <c r="P710" s="29"/>
      <c r="Q710" s="29"/>
      <c r="R710" s="29"/>
      <c r="S710" s="29"/>
      <c r="T710" s="29"/>
      <c r="U710" s="29"/>
      <c r="V710" s="29"/>
      <c r="W710" s="29"/>
      <c r="X710" s="29"/>
      <c r="Y710" s="29"/>
      <c r="Z710" s="29"/>
    </row>
    <row r="711" ht="18.75" customHeight="1">
      <c r="A711" s="37"/>
      <c r="B711" s="38"/>
      <c r="C711" s="29"/>
      <c r="D711" s="39"/>
      <c r="E711" s="29"/>
      <c r="F711" s="40"/>
      <c r="G711" s="40"/>
      <c r="H711" s="40"/>
      <c r="I711" s="29"/>
      <c r="J711" s="29"/>
      <c r="K711" s="29"/>
      <c r="L711" s="29"/>
      <c r="M711" s="29"/>
      <c r="N711" s="29"/>
      <c r="O711" s="29"/>
      <c r="P711" s="29"/>
      <c r="Q711" s="29"/>
      <c r="R711" s="29"/>
      <c r="S711" s="29"/>
      <c r="T711" s="29"/>
      <c r="U711" s="29"/>
      <c r="V711" s="29"/>
      <c r="W711" s="29"/>
      <c r="X711" s="29"/>
      <c r="Y711" s="29"/>
      <c r="Z711" s="29"/>
    </row>
    <row r="712" ht="18.75" customHeight="1">
      <c r="A712" s="37"/>
      <c r="B712" s="38"/>
      <c r="C712" s="29"/>
      <c r="D712" s="39"/>
      <c r="E712" s="29"/>
      <c r="F712" s="40"/>
      <c r="G712" s="40"/>
      <c r="H712" s="40"/>
      <c r="I712" s="29"/>
      <c r="J712" s="29"/>
      <c r="K712" s="29"/>
      <c r="L712" s="29"/>
      <c r="M712" s="29"/>
      <c r="N712" s="29"/>
      <c r="O712" s="29"/>
      <c r="P712" s="29"/>
      <c r="Q712" s="29"/>
      <c r="R712" s="29"/>
      <c r="S712" s="29"/>
      <c r="T712" s="29"/>
      <c r="U712" s="29"/>
      <c r="V712" s="29"/>
      <c r="W712" s="29"/>
      <c r="X712" s="29"/>
      <c r="Y712" s="29"/>
      <c r="Z712" s="29"/>
    </row>
    <row r="713" ht="18.75" customHeight="1">
      <c r="A713" s="37"/>
      <c r="B713" s="38"/>
      <c r="C713" s="29"/>
      <c r="D713" s="39"/>
      <c r="E713" s="29"/>
      <c r="F713" s="40"/>
      <c r="G713" s="40"/>
      <c r="H713" s="40"/>
      <c r="I713" s="29"/>
      <c r="J713" s="29"/>
      <c r="K713" s="29"/>
      <c r="L713" s="29"/>
      <c r="M713" s="29"/>
      <c r="N713" s="29"/>
      <c r="O713" s="29"/>
      <c r="P713" s="29"/>
      <c r="Q713" s="29"/>
      <c r="R713" s="29"/>
      <c r="S713" s="29"/>
      <c r="T713" s="29"/>
      <c r="U713" s="29"/>
      <c r="V713" s="29"/>
      <c r="W713" s="29"/>
      <c r="X713" s="29"/>
      <c r="Y713" s="29"/>
      <c r="Z713" s="29"/>
    </row>
    <row r="714" ht="18.75" customHeight="1">
      <c r="A714" s="37"/>
      <c r="B714" s="38"/>
      <c r="C714" s="29"/>
      <c r="D714" s="39"/>
      <c r="E714" s="29"/>
      <c r="F714" s="40"/>
      <c r="G714" s="40"/>
      <c r="H714" s="40"/>
      <c r="I714" s="29"/>
      <c r="J714" s="29"/>
      <c r="K714" s="29"/>
      <c r="L714" s="29"/>
      <c r="M714" s="29"/>
      <c r="N714" s="29"/>
      <c r="O714" s="29"/>
      <c r="P714" s="29"/>
      <c r="Q714" s="29"/>
      <c r="R714" s="29"/>
      <c r="S714" s="29"/>
      <c r="T714" s="29"/>
      <c r="U714" s="29"/>
      <c r="V714" s="29"/>
      <c r="W714" s="29"/>
      <c r="X714" s="29"/>
      <c r="Y714" s="29"/>
      <c r="Z714" s="29"/>
    </row>
    <row r="715" ht="18.75" customHeight="1">
      <c r="A715" s="37"/>
      <c r="B715" s="38"/>
      <c r="C715" s="29"/>
      <c r="D715" s="39"/>
      <c r="E715" s="29"/>
      <c r="F715" s="40"/>
      <c r="G715" s="40"/>
      <c r="H715" s="40"/>
      <c r="I715" s="29"/>
      <c r="J715" s="29"/>
      <c r="K715" s="29"/>
      <c r="L715" s="29"/>
      <c r="M715" s="29"/>
      <c r="N715" s="29"/>
      <c r="O715" s="29"/>
      <c r="P715" s="29"/>
      <c r="Q715" s="29"/>
      <c r="R715" s="29"/>
      <c r="S715" s="29"/>
      <c r="T715" s="29"/>
      <c r="U715" s="29"/>
      <c r="V715" s="29"/>
      <c r="W715" s="29"/>
      <c r="X715" s="29"/>
      <c r="Y715" s="29"/>
      <c r="Z715" s="29"/>
    </row>
    <row r="716" ht="18.75" customHeight="1">
      <c r="A716" s="37"/>
      <c r="B716" s="38"/>
      <c r="C716" s="29"/>
      <c r="D716" s="39"/>
      <c r="E716" s="29"/>
      <c r="F716" s="40"/>
      <c r="G716" s="40"/>
      <c r="H716" s="40"/>
      <c r="I716" s="29"/>
      <c r="J716" s="29"/>
      <c r="K716" s="29"/>
      <c r="L716" s="29"/>
      <c r="M716" s="29"/>
      <c r="N716" s="29"/>
      <c r="O716" s="29"/>
      <c r="P716" s="29"/>
      <c r="Q716" s="29"/>
      <c r="R716" s="29"/>
      <c r="S716" s="29"/>
      <c r="T716" s="29"/>
      <c r="U716" s="29"/>
      <c r="V716" s="29"/>
      <c r="W716" s="29"/>
      <c r="X716" s="29"/>
      <c r="Y716" s="29"/>
      <c r="Z716" s="29"/>
    </row>
    <row r="717" ht="18.75" customHeight="1">
      <c r="A717" s="37"/>
      <c r="B717" s="38"/>
      <c r="C717" s="29"/>
      <c r="D717" s="39"/>
      <c r="E717" s="29"/>
      <c r="F717" s="40"/>
      <c r="G717" s="40"/>
      <c r="H717" s="40"/>
      <c r="I717" s="29"/>
      <c r="J717" s="29"/>
      <c r="K717" s="29"/>
      <c r="L717" s="29"/>
      <c r="M717" s="29"/>
      <c r="N717" s="29"/>
      <c r="O717" s="29"/>
      <c r="P717" s="29"/>
      <c r="Q717" s="29"/>
      <c r="R717" s="29"/>
      <c r="S717" s="29"/>
      <c r="T717" s="29"/>
      <c r="U717" s="29"/>
      <c r="V717" s="29"/>
      <c r="W717" s="29"/>
      <c r="X717" s="29"/>
      <c r="Y717" s="29"/>
      <c r="Z717" s="29"/>
    </row>
    <row r="718" ht="18.75" customHeight="1">
      <c r="A718" s="37"/>
      <c r="B718" s="38"/>
      <c r="C718" s="29"/>
      <c r="D718" s="39"/>
      <c r="E718" s="29"/>
      <c r="F718" s="40"/>
      <c r="G718" s="40"/>
      <c r="H718" s="40"/>
      <c r="I718" s="29"/>
      <c r="J718" s="29"/>
      <c r="K718" s="29"/>
      <c r="L718" s="29"/>
      <c r="M718" s="29"/>
      <c r="N718" s="29"/>
      <c r="O718" s="29"/>
      <c r="P718" s="29"/>
      <c r="Q718" s="29"/>
      <c r="R718" s="29"/>
      <c r="S718" s="29"/>
      <c r="T718" s="29"/>
      <c r="U718" s="29"/>
      <c r="V718" s="29"/>
      <c r="W718" s="29"/>
      <c r="X718" s="29"/>
      <c r="Y718" s="29"/>
      <c r="Z718" s="29"/>
    </row>
    <row r="719" ht="18.75" customHeight="1">
      <c r="A719" s="37"/>
      <c r="B719" s="38"/>
      <c r="C719" s="29"/>
      <c r="D719" s="39"/>
      <c r="E719" s="29"/>
      <c r="F719" s="40"/>
      <c r="G719" s="40"/>
      <c r="H719" s="40"/>
      <c r="I719" s="29"/>
      <c r="J719" s="29"/>
      <c r="K719" s="29"/>
      <c r="L719" s="29"/>
      <c r="M719" s="29"/>
      <c r="N719" s="29"/>
      <c r="O719" s="29"/>
      <c r="P719" s="29"/>
      <c r="Q719" s="29"/>
      <c r="R719" s="29"/>
      <c r="S719" s="29"/>
      <c r="T719" s="29"/>
      <c r="U719" s="29"/>
      <c r="V719" s="29"/>
      <c r="W719" s="29"/>
      <c r="X719" s="29"/>
      <c r="Y719" s="29"/>
      <c r="Z719" s="29"/>
    </row>
    <row r="720" ht="18.75" customHeight="1">
      <c r="A720" s="37"/>
      <c r="B720" s="38"/>
      <c r="C720" s="29"/>
      <c r="D720" s="39"/>
      <c r="E720" s="29"/>
      <c r="F720" s="40"/>
      <c r="G720" s="40"/>
      <c r="H720" s="40"/>
      <c r="I720" s="29"/>
      <c r="J720" s="29"/>
      <c r="K720" s="29"/>
      <c r="L720" s="29"/>
      <c r="M720" s="29"/>
      <c r="N720" s="29"/>
      <c r="O720" s="29"/>
      <c r="P720" s="29"/>
      <c r="Q720" s="29"/>
      <c r="R720" s="29"/>
      <c r="S720" s="29"/>
      <c r="T720" s="29"/>
      <c r="U720" s="29"/>
      <c r="V720" s="29"/>
      <c r="W720" s="29"/>
      <c r="X720" s="29"/>
      <c r="Y720" s="29"/>
      <c r="Z720" s="29"/>
    </row>
    <row r="721" ht="18.75" customHeight="1">
      <c r="A721" s="37"/>
      <c r="B721" s="38"/>
      <c r="C721" s="29"/>
      <c r="D721" s="39"/>
      <c r="E721" s="29"/>
      <c r="F721" s="40"/>
      <c r="G721" s="40"/>
      <c r="H721" s="40"/>
      <c r="I721" s="29"/>
      <c r="J721" s="29"/>
      <c r="K721" s="29"/>
      <c r="L721" s="29"/>
      <c r="M721" s="29"/>
      <c r="N721" s="29"/>
      <c r="O721" s="29"/>
      <c r="P721" s="29"/>
      <c r="Q721" s="29"/>
      <c r="R721" s="29"/>
      <c r="S721" s="29"/>
      <c r="T721" s="29"/>
      <c r="U721" s="29"/>
      <c r="V721" s="29"/>
      <c r="W721" s="29"/>
      <c r="X721" s="29"/>
      <c r="Y721" s="29"/>
      <c r="Z721" s="29"/>
    </row>
    <row r="722" ht="18.75" customHeight="1">
      <c r="A722" s="37"/>
      <c r="B722" s="38"/>
      <c r="C722" s="29"/>
      <c r="D722" s="39"/>
      <c r="E722" s="29"/>
      <c r="F722" s="40"/>
      <c r="G722" s="40"/>
      <c r="H722" s="40"/>
      <c r="I722" s="29"/>
      <c r="J722" s="29"/>
      <c r="K722" s="29"/>
      <c r="L722" s="29"/>
      <c r="M722" s="29"/>
      <c r="N722" s="29"/>
      <c r="O722" s="29"/>
      <c r="P722" s="29"/>
      <c r="Q722" s="29"/>
      <c r="R722" s="29"/>
      <c r="S722" s="29"/>
      <c r="T722" s="29"/>
      <c r="U722" s="29"/>
      <c r="V722" s="29"/>
      <c r="W722" s="29"/>
      <c r="X722" s="29"/>
      <c r="Y722" s="29"/>
      <c r="Z722" s="29"/>
    </row>
    <row r="723" ht="18.75" customHeight="1">
      <c r="A723" s="37"/>
      <c r="B723" s="38"/>
      <c r="C723" s="29"/>
      <c r="D723" s="39"/>
      <c r="E723" s="29"/>
      <c r="F723" s="40"/>
      <c r="G723" s="40"/>
      <c r="H723" s="40"/>
      <c r="I723" s="29"/>
      <c r="J723" s="29"/>
      <c r="K723" s="29"/>
      <c r="L723" s="29"/>
      <c r="M723" s="29"/>
      <c r="N723" s="29"/>
      <c r="O723" s="29"/>
      <c r="P723" s="29"/>
      <c r="Q723" s="29"/>
      <c r="R723" s="29"/>
      <c r="S723" s="29"/>
      <c r="T723" s="29"/>
      <c r="U723" s="29"/>
      <c r="V723" s="29"/>
      <c r="W723" s="29"/>
      <c r="X723" s="29"/>
      <c r="Y723" s="29"/>
      <c r="Z723" s="29"/>
    </row>
    <row r="724" ht="18.75" customHeight="1">
      <c r="A724" s="37"/>
      <c r="B724" s="38"/>
      <c r="C724" s="29"/>
      <c r="D724" s="39"/>
      <c r="E724" s="29"/>
      <c r="F724" s="40"/>
      <c r="G724" s="40"/>
      <c r="H724" s="40"/>
      <c r="I724" s="29"/>
      <c r="J724" s="29"/>
      <c r="K724" s="29"/>
      <c r="L724" s="29"/>
      <c r="M724" s="29"/>
      <c r="N724" s="29"/>
      <c r="O724" s="29"/>
      <c r="P724" s="29"/>
      <c r="Q724" s="29"/>
      <c r="R724" s="29"/>
      <c r="S724" s="29"/>
      <c r="T724" s="29"/>
      <c r="U724" s="29"/>
      <c r="V724" s="29"/>
      <c r="W724" s="29"/>
      <c r="X724" s="29"/>
      <c r="Y724" s="29"/>
      <c r="Z724" s="29"/>
    </row>
    <row r="725" ht="18.75" customHeight="1">
      <c r="A725" s="37"/>
      <c r="B725" s="38"/>
      <c r="C725" s="29"/>
      <c r="D725" s="39"/>
      <c r="E725" s="29"/>
      <c r="F725" s="40"/>
      <c r="G725" s="40"/>
      <c r="H725" s="40"/>
      <c r="I725" s="29"/>
      <c r="J725" s="29"/>
      <c r="K725" s="29"/>
      <c r="L725" s="29"/>
      <c r="M725" s="29"/>
      <c r="N725" s="29"/>
      <c r="O725" s="29"/>
      <c r="P725" s="29"/>
      <c r="Q725" s="29"/>
      <c r="R725" s="29"/>
      <c r="S725" s="29"/>
      <c r="T725" s="29"/>
      <c r="U725" s="29"/>
      <c r="V725" s="29"/>
      <c r="W725" s="29"/>
      <c r="X725" s="29"/>
      <c r="Y725" s="29"/>
      <c r="Z725" s="29"/>
    </row>
    <row r="726" ht="18.75" customHeight="1">
      <c r="A726" s="37"/>
      <c r="B726" s="38"/>
      <c r="C726" s="29"/>
      <c r="D726" s="39"/>
      <c r="E726" s="29"/>
      <c r="F726" s="40"/>
      <c r="G726" s="40"/>
      <c r="H726" s="40"/>
      <c r="I726" s="29"/>
      <c r="J726" s="29"/>
      <c r="K726" s="29"/>
      <c r="L726" s="29"/>
      <c r="M726" s="29"/>
      <c r="N726" s="29"/>
      <c r="O726" s="29"/>
      <c r="P726" s="29"/>
      <c r="Q726" s="29"/>
      <c r="R726" s="29"/>
      <c r="S726" s="29"/>
      <c r="T726" s="29"/>
      <c r="U726" s="29"/>
      <c r="V726" s="29"/>
      <c r="W726" s="29"/>
      <c r="X726" s="29"/>
      <c r="Y726" s="29"/>
      <c r="Z726" s="29"/>
    </row>
    <row r="727" ht="18.75" customHeight="1">
      <c r="A727" s="37"/>
      <c r="B727" s="38"/>
      <c r="C727" s="29"/>
      <c r="D727" s="39"/>
      <c r="E727" s="29"/>
      <c r="F727" s="40"/>
      <c r="G727" s="40"/>
      <c r="H727" s="40"/>
      <c r="I727" s="29"/>
      <c r="J727" s="29"/>
      <c r="K727" s="29"/>
      <c r="L727" s="29"/>
      <c r="M727" s="29"/>
      <c r="N727" s="29"/>
      <c r="O727" s="29"/>
      <c r="P727" s="29"/>
      <c r="Q727" s="29"/>
      <c r="R727" s="29"/>
      <c r="S727" s="29"/>
      <c r="T727" s="29"/>
      <c r="U727" s="29"/>
      <c r="V727" s="29"/>
      <c r="W727" s="29"/>
      <c r="X727" s="29"/>
      <c r="Y727" s="29"/>
      <c r="Z727" s="29"/>
    </row>
    <row r="728" ht="18.75" customHeight="1">
      <c r="A728" s="37"/>
      <c r="B728" s="38"/>
      <c r="C728" s="29"/>
      <c r="D728" s="39"/>
      <c r="E728" s="29"/>
      <c r="F728" s="40"/>
      <c r="G728" s="40"/>
      <c r="H728" s="40"/>
      <c r="I728" s="29"/>
      <c r="J728" s="29"/>
      <c r="K728" s="29"/>
      <c r="L728" s="29"/>
      <c r="M728" s="29"/>
      <c r="N728" s="29"/>
      <c r="O728" s="29"/>
      <c r="P728" s="29"/>
      <c r="Q728" s="29"/>
      <c r="R728" s="29"/>
      <c r="S728" s="29"/>
      <c r="T728" s="29"/>
      <c r="U728" s="29"/>
      <c r="V728" s="29"/>
      <c r="W728" s="29"/>
      <c r="X728" s="29"/>
      <c r="Y728" s="29"/>
      <c r="Z728" s="29"/>
    </row>
    <row r="729" ht="18.75" customHeight="1">
      <c r="A729" s="37"/>
      <c r="B729" s="38"/>
      <c r="C729" s="29"/>
      <c r="D729" s="39"/>
      <c r="E729" s="29"/>
      <c r="F729" s="40"/>
      <c r="G729" s="40"/>
      <c r="H729" s="40"/>
      <c r="I729" s="29"/>
      <c r="J729" s="29"/>
      <c r="K729" s="29"/>
      <c r="L729" s="29"/>
      <c r="M729" s="29"/>
      <c r="N729" s="29"/>
      <c r="O729" s="29"/>
      <c r="P729" s="29"/>
      <c r="Q729" s="29"/>
      <c r="R729" s="29"/>
      <c r="S729" s="29"/>
      <c r="T729" s="29"/>
      <c r="U729" s="29"/>
      <c r="V729" s="29"/>
      <c r="W729" s="29"/>
      <c r="X729" s="29"/>
      <c r="Y729" s="29"/>
      <c r="Z729" s="29"/>
    </row>
    <row r="730" ht="18.75" customHeight="1">
      <c r="A730" s="37"/>
      <c r="B730" s="38"/>
      <c r="C730" s="29"/>
      <c r="D730" s="39"/>
      <c r="E730" s="29"/>
      <c r="F730" s="40"/>
      <c r="G730" s="40"/>
      <c r="H730" s="40"/>
      <c r="I730" s="29"/>
      <c r="J730" s="29"/>
      <c r="K730" s="29"/>
      <c r="L730" s="29"/>
      <c r="M730" s="29"/>
      <c r="N730" s="29"/>
      <c r="O730" s="29"/>
      <c r="P730" s="29"/>
      <c r="Q730" s="29"/>
      <c r="R730" s="29"/>
      <c r="S730" s="29"/>
      <c r="T730" s="29"/>
      <c r="U730" s="29"/>
      <c r="V730" s="29"/>
      <c r="W730" s="29"/>
      <c r="X730" s="29"/>
      <c r="Y730" s="29"/>
      <c r="Z730" s="29"/>
    </row>
    <row r="731" ht="18.75" customHeight="1">
      <c r="A731" s="37"/>
      <c r="B731" s="38"/>
      <c r="C731" s="29"/>
      <c r="D731" s="39"/>
      <c r="E731" s="29"/>
      <c r="F731" s="40"/>
      <c r="G731" s="40"/>
      <c r="H731" s="40"/>
      <c r="I731" s="29"/>
      <c r="J731" s="29"/>
      <c r="K731" s="29"/>
      <c r="L731" s="29"/>
      <c r="M731" s="29"/>
      <c r="N731" s="29"/>
      <c r="O731" s="29"/>
      <c r="P731" s="29"/>
      <c r="Q731" s="29"/>
      <c r="R731" s="29"/>
      <c r="S731" s="29"/>
      <c r="T731" s="29"/>
      <c r="U731" s="29"/>
      <c r="V731" s="29"/>
      <c r="W731" s="29"/>
      <c r="X731" s="29"/>
      <c r="Y731" s="29"/>
      <c r="Z731" s="29"/>
    </row>
    <row r="732" ht="18.75" customHeight="1">
      <c r="A732" s="37"/>
      <c r="B732" s="38"/>
      <c r="C732" s="29"/>
      <c r="D732" s="39"/>
      <c r="E732" s="29"/>
      <c r="F732" s="40"/>
      <c r="G732" s="40"/>
      <c r="H732" s="40"/>
      <c r="I732" s="29"/>
      <c r="J732" s="29"/>
      <c r="K732" s="29"/>
      <c r="L732" s="29"/>
      <c r="M732" s="29"/>
      <c r="N732" s="29"/>
      <c r="O732" s="29"/>
      <c r="P732" s="29"/>
      <c r="Q732" s="29"/>
      <c r="R732" s="29"/>
      <c r="S732" s="29"/>
      <c r="T732" s="29"/>
      <c r="U732" s="29"/>
      <c r="V732" s="29"/>
      <c r="W732" s="29"/>
      <c r="X732" s="29"/>
      <c r="Y732" s="29"/>
      <c r="Z732" s="29"/>
    </row>
    <row r="733" ht="18.75" customHeight="1">
      <c r="A733" s="37"/>
      <c r="B733" s="38"/>
      <c r="C733" s="29"/>
      <c r="D733" s="39"/>
      <c r="E733" s="29"/>
      <c r="F733" s="40"/>
      <c r="G733" s="40"/>
      <c r="H733" s="40"/>
      <c r="I733" s="29"/>
      <c r="J733" s="29"/>
      <c r="K733" s="29"/>
      <c r="L733" s="29"/>
      <c r="M733" s="29"/>
      <c r="N733" s="29"/>
      <c r="O733" s="29"/>
      <c r="P733" s="29"/>
      <c r="Q733" s="29"/>
      <c r="R733" s="29"/>
      <c r="S733" s="29"/>
      <c r="T733" s="29"/>
      <c r="U733" s="29"/>
      <c r="V733" s="29"/>
      <c r="W733" s="29"/>
      <c r="X733" s="29"/>
      <c r="Y733" s="29"/>
      <c r="Z733" s="29"/>
    </row>
    <row r="734" ht="18.75" customHeight="1">
      <c r="A734" s="37"/>
      <c r="B734" s="38"/>
      <c r="C734" s="29"/>
      <c r="D734" s="39"/>
      <c r="E734" s="29"/>
      <c r="F734" s="40"/>
      <c r="G734" s="40"/>
      <c r="H734" s="40"/>
      <c r="I734" s="29"/>
      <c r="J734" s="29"/>
      <c r="K734" s="29"/>
      <c r="L734" s="29"/>
      <c r="M734" s="29"/>
      <c r="N734" s="29"/>
      <c r="O734" s="29"/>
      <c r="P734" s="29"/>
      <c r="Q734" s="29"/>
      <c r="R734" s="29"/>
      <c r="S734" s="29"/>
      <c r="T734" s="29"/>
      <c r="U734" s="29"/>
      <c r="V734" s="29"/>
      <c r="W734" s="29"/>
      <c r="X734" s="29"/>
      <c r="Y734" s="29"/>
      <c r="Z734" s="29"/>
    </row>
    <row r="735" ht="18.75" customHeight="1">
      <c r="A735" s="37"/>
      <c r="B735" s="38"/>
      <c r="C735" s="29"/>
      <c r="D735" s="39"/>
      <c r="E735" s="29"/>
      <c r="F735" s="40"/>
      <c r="G735" s="40"/>
      <c r="H735" s="40"/>
      <c r="I735" s="29"/>
      <c r="J735" s="29"/>
      <c r="K735" s="29"/>
      <c r="L735" s="29"/>
      <c r="M735" s="29"/>
      <c r="N735" s="29"/>
      <c r="O735" s="29"/>
      <c r="P735" s="29"/>
      <c r="Q735" s="29"/>
      <c r="R735" s="29"/>
      <c r="S735" s="29"/>
      <c r="T735" s="29"/>
      <c r="U735" s="29"/>
      <c r="V735" s="29"/>
      <c r="W735" s="29"/>
      <c r="X735" s="29"/>
      <c r="Y735" s="29"/>
      <c r="Z735" s="29"/>
    </row>
    <row r="736" ht="18.75" customHeight="1">
      <c r="A736" s="37"/>
      <c r="B736" s="38"/>
      <c r="C736" s="29"/>
      <c r="D736" s="39"/>
      <c r="E736" s="29"/>
      <c r="F736" s="40"/>
      <c r="G736" s="40"/>
      <c r="H736" s="40"/>
      <c r="I736" s="29"/>
      <c r="J736" s="29"/>
      <c r="K736" s="29"/>
      <c r="L736" s="29"/>
      <c r="M736" s="29"/>
      <c r="N736" s="29"/>
      <c r="O736" s="29"/>
      <c r="P736" s="29"/>
      <c r="Q736" s="29"/>
      <c r="R736" s="29"/>
      <c r="S736" s="29"/>
      <c r="T736" s="29"/>
      <c r="U736" s="29"/>
      <c r="V736" s="29"/>
      <c r="W736" s="29"/>
      <c r="X736" s="29"/>
      <c r="Y736" s="29"/>
      <c r="Z736" s="29"/>
    </row>
    <row r="737" ht="18.75" customHeight="1">
      <c r="A737" s="37"/>
      <c r="B737" s="38"/>
      <c r="C737" s="29"/>
      <c r="D737" s="39"/>
      <c r="E737" s="29"/>
      <c r="F737" s="40"/>
      <c r="G737" s="40"/>
      <c r="H737" s="40"/>
      <c r="I737" s="29"/>
      <c r="J737" s="29"/>
      <c r="K737" s="29"/>
      <c r="L737" s="29"/>
      <c r="M737" s="29"/>
      <c r="N737" s="29"/>
      <c r="O737" s="29"/>
      <c r="P737" s="29"/>
      <c r="Q737" s="29"/>
      <c r="R737" s="29"/>
      <c r="S737" s="29"/>
      <c r="T737" s="29"/>
      <c r="U737" s="29"/>
      <c r="V737" s="29"/>
      <c r="W737" s="29"/>
      <c r="X737" s="29"/>
      <c r="Y737" s="29"/>
      <c r="Z737" s="29"/>
    </row>
    <row r="738" ht="18.75" customHeight="1">
      <c r="A738" s="37"/>
      <c r="B738" s="38"/>
      <c r="C738" s="29"/>
      <c r="D738" s="39"/>
      <c r="E738" s="29"/>
      <c r="F738" s="40"/>
      <c r="G738" s="40"/>
      <c r="H738" s="40"/>
      <c r="I738" s="29"/>
      <c r="J738" s="29"/>
      <c r="K738" s="29"/>
      <c r="L738" s="29"/>
      <c r="M738" s="29"/>
      <c r="N738" s="29"/>
      <c r="O738" s="29"/>
      <c r="P738" s="29"/>
      <c r="Q738" s="29"/>
      <c r="R738" s="29"/>
      <c r="S738" s="29"/>
      <c r="T738" s="29"/>
      <c r="U738" s="29"/>
      <c r="V738" s="29"/>
      <c r="W738" s="29"/>
      <c r="X738" s="29"/>
      <c r="Y738" s="29"/>
      <c r="Z738" s="29"/>
    </row>
    <row r="739" ht="18.75" customHeight="1">
      <c r="A739" s="37"/>
      <c r="B739" s="38"/>
      <c r="C739" s="29"/>
      <c r="D739" s="39"/>
      <c r="E739" s="29"/>
      <c r="F739" s="40"/>
      <c r="G739" s="40"/>
      <c r="H739" s="40"/>
      <c r="I739" s="29"/>
      <c r="J739" s="29"/>
      <c r="K739" s="29"/>
      <c r="L739" s="29"/>
      <c r="M739" s="29"/>
      <c r="N739" s="29"/>
      <c r="O739" s="29"/>
      <c r="P739" s="29"/>
      <c r="Q739" s="29"/>
      <c r="R739" s="29"/>
      <c r="S739" s="29"/>
      <c r="T739" s="29"/>
      <c r="U739" s="29"/>
      <c r="V739" s="29"/>
      <c r="W739" s="29"/>
      <c r="X739" s="29"/>
      <c r="Y739" s="29"/>
      <c r="Z739" s="29"/>
    </row>
    <row r="740" ht="18.75" customHeight="1">
      <c r="A740" s="37"/>
      <c r="B740" s="38"/>
      <c r="C740" s="29"/>
      <c r="D740" s="39"/>
      <c r="E740" s="29"/>
      <c r="F740" s="40"/>
      <c r="G740" s="40"/>
      <c r="H740" s="40"/>
      <c r="I740" s="29"/>
      <c r="J740" s="29"/>
      <c r="K740" s="29"/>
      <c r="L740" s="29"/>
      <c r="M740" s="29"/>
      <c r="N740" s="29"/>
      <c r="O740" s="29"/>
      <c r="P740" s="29"/>
      <c r="Q740" s="29"/>
      <c r="R740" s="29"/>
      <c r="S740" s="29"/>
      <c r="T740" s="29"/>
      <c r="U740" s="29"/>
      <c r="V740" s="29"/>
      <c r="W740" s="29"/>
      <c r="X740" s="29"/>
      <c r="Y740" s="29"/>
      <c r="Z740" s="29"/>
    </row>
    <row r="741" ht="18.75" customHeight="1">
      <c r="A741" s="37"/>
      <c r="B741" s="38"/>
      <c r="C741" s="29"/>
      <c r="D741" s="39"/>
      <c r="E741" s="29"/>
      <c r="F741" s="40"/>
      <c r="G741" s="40"/>
      <c r="H741" s="40"/>
      <c r="I741" s="29"/>
      <c r="J741" s="29"/>
      <c r="K741" s="29"/>
      <c r="L741" s="29"/>
      <c r="M741" s="29"/>
      <c r="N741" s="29"/>
      <c r="O741" s="29"/>
      <c r="P741" s="29"/>
      <c r="Q741" s="29"/>
      <c r="R741" s="29"/>
      <c r="S741" s="29"/>
      <c r="T741" s="29"/>
      <c r="U741" s="29"/>
      <c r="V741" s="29"/>
      <c r="W741" s="29"/>
      <c r="X741" s="29"/>
      <c r="Y741" s="29"/>
      <c r="Z741" s="29"/>
    </row>
    <row r="742" ht="18.75" customHeight="1">
      <c r="A742" s="37"/>
      <c r="B742" s="38"/>
      <c r="C742" s="29"/>
      <c r="D742" s="39"/>
      <c r="E742" s="29"/>
      <c r="F742" s="40"/>
      <c r="G742" s="40"/>
      <c r="H742" s="40"/>
      <c r="I742" s="29"/>
      <c r="J742" s="29"/>
      <c r="K742" s="29"/>
      <c r="L742" s="29"/>
      <c r="M742" s="29"/>
      <c r="N742" s="29"/>
      <c r="O742" s="29"/>
      <c r="P742" s="29"/>
      <c r="Q742" s="29"/>
      <c r="R742" s="29"/>
      <c r="S742" s="29"/>
      <c r="T742" s="29"/>
      <c r="U742" s="29"/>
      <c r="V742" s="29"/>
      <c r="W742" s="29"/>
      <c r="X742" s="29"/>
      <c r="Y742" s="29"/>
      <c r="Z742" s="29"/>
    </row>
    <row r="743" ht="18.75" customHeight="1">
      <c r="A743" s="37"/>
      <c r="B743" s="38"/>
      <c r="C743" s="29"/>
      <c r="D743" s="39"/>
      <c r="E743" s="29"/>
      <c r="F743" s="40"/>
      <c r="G743" s="40"/>
      <c r="H743" s="40"/>
      <c r="I743" s="29"/>
      <c r="J743" s="29"/>
      <c r="K743" s="29"/>
      <c r="L743" s="29"/>
      <c r="M743" s="29"/>
      <c r="N743" s="29"/>
      <c r="O743" s="29"/>
      <c r="P743" s="29"/>
      <c r="Q743" s="29"/>
      <c r="R743" s="29"/>
      <c r="S743" s="29"/>
      <c r="T743" s="29"/>
      <c r="U743" s="29"/>
      <c r="V743" s="29"/>
      <c r="W743" s="29"/>
      <c r="X743" s="29"/>
      <c r="Y743" s="29"/>
      <c r="Z743" s="29"/>
    </row>
    <row r="744" ht="18.75" customHeight="1">
      <c r="A744" s="37"/>
      <c r="B744" s="38"/>
      <c r="C744" s="29"/>
      <c r="D744" s="39"/>
      <c r="E744" s="29"/>
      <c r="F744" s="40"/>
      <c r="G744" s="40"/>
      <c r="H744" s="40"/>
      <c r="I744" s="29"/>
      <c r="J744" s="29"/>
      <c r="K744" s="29"/>
      <c r="L744" s="29"/>
      <c r="M744" s="29"/>
      <c r="N744" s="29"/>
      <c r="O744" s="29"/>
      <c r="P744" s="29"/>
      <c r="Q744" s="29"/>
      <c r="R744" s="29"/>
      <c r="S744" s="29"/>
      <c r="T744" s="29"/>
      <c r="U744" s="29"/>
      <c r="V744" s="29"/>
      <c r="W744" s="29"/>
      <c r="X744" s="29"/>
      <c r="Y744" s="29"/>
      <c r="Z744" s="29"/>
    </row>
    <row r="745" ht="18.75" customHeight="1">
      <c r="A745" s="37"/>
      <c r="B745" s="38"/>
      <c r="C745" s="29"/>
      <c r="D745" s="39"/>
      <c r="E745" s="29"/>
      <c r="F745" s="40"/>
      <c r="G745" s="40"/>
      <c r="H745" s="40"/>
      <c r="I745" s="29"/>
      <c r="J745" s="29"/>
      <c r="K745" s="29"/>
      <c r="L745" s="29"/>
      <c r="M745" s="29"/>
      <c r="N745" s="29"/>
      <c r="O745" s="29"/>
      <c r="P745" s="29"/>
      <c r="Q745" s="29"/>
      <c r="R745" s="29"/>
      <c r="S745" s="29"/>
      <c r="T745" s="29"/>
      <c r="U745" s="29"/>
      <c r="V745" s="29"/>
      <c r="W745" s="29"/>
      <c r="X745" s="29"/>
      <c r="Y745" s="29"/>
      <c r="Z745" s="29"/>
    </row>
    <row r="746" ht="18.75" customHeight="1">
      <c r="A746" s="37"/>
      <c r="B746" s="38"/>
      <c r="C746" s="29"/>
      <c r="D746" s="39"/>
      <c r="E746" s="29"/>
      <c r="F746" s="40"/>
      <c r="G746" s="40"/>
      <c r="H746" s="40"/>
      <c r="I746" s="29"/>
      <c r="J746" s="29"/>
      <c r="K746" s="29"/>
      <c r="L746" s="29"/>
      <c r="M746" s="29"/>
      <c r="N746" s="29"/>
      <c r="O746" s="29"/>
      <c r="P746" s="29"/>
      <c r="Q746" s="29"/>
      <c r="R746" s="29"/>
      <c r="S746" s="29"/>
      <c r="T746" s="29"/>
      <c r="U746" s="29"/>
      <c r="V746" s="29"/>
      <c r="W746" s="29"/>
      <c r="X746" s="29"/>
      <c r="Y746" s="29"/>
      <c r="Z746" s="29"/>
    </row>
    <row r="747" ht="18.75" customHeight="1">
      <c r="A747" s="37"/>
      <c r="B747" s="38"/>
      <c r="C747" s="29"/>
      <c r="D747" s="39"/>
      <c r="E747" s="29"/>
      <c r="F747" s="40"/>
      <c r="G747" s="40"/>
      <c r="H747" s="40"/>
      <c r="I747" s="29"/>
      <c r="J747" s="29"/>
      <c r="K747" s="29"/>
      <c r="L747" s="29"/>
      <c r="M747" s="29"/>
      <c r="N747" s="29"/>
      <c r="O747" s="29"/>
      <c r="P747" s="29"/>
      <c r="Q747" s="29"/>
      <c r="R747" s="29"/>
      <c r="S747" s="29"/>
      <c r="T747" s="29"/>
      <c r="U747" s="29"/>
      <c r="V747" s="29"/>
      <c r="W747" s="29"/>
      <c r="X747" s="29"/>
      <c r="Y747" s="29"/>
      <c r="Z747" s="29"/>
    </row>
    <row r="748" ht="18.75" customHeight="1">
      <c r="A748" s="37"/>
      <c r="B748" s="38"/>
      <c r="C748" s="29"/>
      <c r="D748" s="39"/>
      <c r="E748" s="29"/>
      <c r="F748" s="40"/>
      <c r="G748" s="40"/>
      <c r="H748" s="40"/>
      <c r="I748" s="29"/>
      <c r="J748" s="29"/>
      <c r="K748" s="29"/>
      <c r="L748" s="29"/>
      <c r="M748" s="29"/>
      <c r="N748" s="29"/>
      <c r="O748" s="29"/>
      <c r="P748" s="29"/>
      <c r="Q748" s="29"/>
      <c r="R748" s="29"/>
      <c r="S748" s="29"/>
      <c r="T748" s="29"/>
      <c r="U748" s="29"/>
      <c r="V748" s="29"/>
      <c r="W748" s="29"/>
      <c r="X748" s="29"/>
      <c r="Y748" s="29"/>
      <c r="Z748" s="29"/>
    </row>
    <row r="749" ht="18.75" customHeight="1">
      <c r="A749" s="37"/>
      <c r="B749" s="38"/>
      <c r="C749" s="29"/>
      <c r="D749" s="39"/>
      <c r="E749" s="29"/>
      <c r="F749" s="40"/>
      <c r="G749" s="40"/>
      <c r="H749" s="40"/>
      <c r="I749" s="29"/>
      <c r="J749" s="29"/>
      <c r="K749" s="29"/>
      <c r="L749" s="29"/>
      <c r="M749" s="29"/>
      <c r="N749" s="29"/>
      <c r="O749" s="29"/>
      <c r="P749" s="29"/>
      <c r="Q749" s="29"/>
      <c r="R749" s="29"/>
      <c r="S749" s="29"/>
      <c r="T749" s="29"/>
      <c r="U749" s="29"/>
      <c r="V749" s="29"/>
      <c r="W749" s="29"/>
      <c r="X749" s="29"/>
      <c r="Y749" s="29"/>
      <c r="Z749" s="29"/>
    </row>
    <row r="750" ht="18.75" customHeight="1">
      <c r="A750" s="37"/>
      <c r="B750" s="38"/>
      <c r="C750" s="29"/>
      <c r="D750" s="39"/>
      <c r="E750" s="29"/>
      <c r="F750" s="40"/>
      <c r="G750" s="40"/>
      <c r="H750" s="40"/>
      <c r="I750" s="29"/>
      <c r="J750" s="29"/>
      <c r="K750" s="29"/>
      <c r="L750" s="29"/>
      <c r="M750" s="29"/>
      <c r="N750" s="29"/>
      <c r="O750" s="29"/>
      <c r="P750" s="29"/>
      <c r="Q750" s="29"/>
      <c r="R750" s="29"/>
      <c r="S750" s="29"/>
      <c r="T750" s="29"/>
      <c r="U750" s="29"/>
      <c r="V750" s="29"/>
      <c r="W750" s="29"/>
      <c r="X750" s="29"/>
      <c r="Y750" s="29"/>
      <c r="Z750" s="29"/>
    </row>
    <row r="751" ht="18.75" customHeight="1">
      <c r="A751" s="37"/>
      <c r="B751" s="38"/>
      <c r="C751" s="29"/>
      <c r="D751" s="39"/>
      <c r="E751" s="29"/>
      <c r="F751" s="40"/>
      <c r="G751" s="40"/>
      <c r="H751" s="40"/>
      <c r="I751" s="29"/>
      <c r="J751" s="29"/>
      <c r="K751" s="29"/>
      <c r="L751" s="29"/>
      <c r="M751" s="29"/>
      <c r="N751" s="29"/>
      <c r="O751" s="29"/>
      <c r="P751" s="29"/>
      <c r="Q751" s="29"/>
      <c r="R751" s="29"/>
      <c r="S751" s="29"/>
      <c r="T751" s="29"/>
      <c r="U751" s="29"/>
      <c r="V751" s="29"/>
      <c r="W751" s="29"/>
      <c r="X751" s="29"/>
      <c r="Y751" s="29"/>
      <c r="Z751" s="29"/>
    </row>
    <row r="752" ht="18.75" customHeight="1">
      <c r="A752" s="37"/>
      <c r="B752" s="38"/>
      <c r="C752" s="29"/>
      <c r="D752" s="39"/>
      <c r="E752" s="29"/>
      <c r="F752" s="40"/>
      <c r="G752" s="40"/>
      <c r="H752" s="40"/>
      <c r="I752" s="29"/>
      <c r="J752" s="29"/>
      <c r="K752" s="29"/>
      <c r="L752" s="29"/>
      <c r="M752" s="29"/>
      <c r="N752" s="29"/>
      <c r="O752" s="29"/>
      <c r="P752" s="29"/>
      <c r="Q752" s="29"/>
      <c r="R752" s="29"/>
      <c r="S752" s="29"/>
      <c r="T752" s="29"/>
      <c r="U752" s="29"/>
      <c r="V752" s="29"/>
      <c r="W752" s="29"/>
      <c r="X752" s="29"/>
      <c r="Y752" s="29"/>
      <c r="Z752" s="29"/>
    </row>
    <row r="753" ht="18.75" customHeight="1">
      <c r="A753" s="37"/>
      <c r="B753" s="38"/>
      <c r="C753" s="29"/>
      <c r="D753" s="39"/>
      <c r="E753" s="29"/>
      <c r="F753" s="40"/>
      <c r="G753" s="40"/>
      <c r="H753" s="40"/>
      <c r="I753" s="29"/>
      <c r="J753" s="29"/>
      <c r="K753" s="29"/>
      <c r="L753" s="29"/>
      <c r="M753" s="29"/>
      <c r="N753" s="29"/>
      <c r="O753" s="29"/>
      <c r="P753" s="29"/>
      <c r="Q753" s="29"/>
      <c r="R753" s="29"/>
      <c r="S753" s="29"/>
      <c r="T753" s="29"/>
      <c r="U753" s="29"/>
      <c r="V753" s="29"/>
      <c r="W753" s="29"/>
      <c r="X753" s="29"/>
      <c r="Y753" s="29"/>
      <c r="Z753" s="29"/>
    </row>
    <row r="754" ht="18.75" customHeight="1">
      <c r="A754" s="37"/>
      <c r="B754" s="38"/>
      <c r="C754" s="29"/>
      <c r="D754" s="39"/>
      <c r="E754" s="29"/>
      <c r="F754" s="40"/>
      <c r="G754" s="40"/>
      <c r="H754" s="40"/>
      <c r="I754" s="29"/>
      <c r="J754" s="29"/>
      <c r="K754" s="29"/>
      <c r="L754" s="29"/>
      <c r="M754" s="29"/>
      <c r="N754" s="29"/>
      <c r="O754" s="29"/>
      <c r="P754" s="29"/>
      <c r="Q754" s="29"/>
      <c r="R754" s="29"/>
      <c r="S754" s="29"/>
      <c r="T754" s="29"/>
      <c r="U754" s="29"/>
      <c r="V754" s="29"/>
      <c r="W754" s="29"/>
      <c r="X754" s="29"/>
      <c r="Y754" s="29"/>
      <c r="Z754" s="29"/>
    </row>
    <row r="755" ht="18.75" customHeight="1">
      <c r="A755" s="37"/>
      <c r="B755" s="38"/>
      <c r="C755" s="29"/>
      <c r="D755" s="39"/>
      <c r="E755" s="29"/>
      <c r="F755" s="40"/>
      <c r="G755" s="40"/>
      <c r="H755" s="40"/>
      <c r="I755" s="29"/>
      <c r="J755" s="29"/>
      <c r="K755" s="29"/>
      <c r="L755" s="29"/>
      <c r="M755" s="29"/>
      <c r="N755" s="29"/>
      <c r="O755" s="29"/>
      <c r="P755" s="29"/>
      <c r="Q755" s="29"/>
      <c r="R755" s="29"/>
      <c r="S755" s="29"/>
      <c r="T755" s="29"/>
      <c r="U755" s="29"/>
      <c r="V755" s="29"/>
      <c r="W755" s="29"/>
      <c r="X755" s="29"/>
      <c r="Y755" s="29"/>
      <c r="Z755" s="29"/>
    </row>
    <row r="756" ht="18.75" customHeight="1">
      <c r="A756" s="37"/>
      <c r="B756" s="38"/>
      <c r="C756" s="29"/>
      <c r="D756" s="39"/>
      <c r="E756" s="29"/>
      <c r="F756" s="40"/>
      <c r="G756" s="40"/>
      <c r="H756" s="40"/>
      <c r="I756" s="29"/>
      <c r="J756" s="29"/>
      <c r="K756" s="29"/>
      <c r="L756" s="29"/>
      <c r="M756" s="29"/>
      <c r="N756" s="29"/>
      <c r="O756" s="29"/>
      <c r="P756" s="29"/>
      <c r="Q756" s="29"/>
      <c r="R756" s="29"/>
      <c r="S756" s="29"/>
      <c r="T756" s="29"/>
      <c r="U756" s="29"/>
      <c r="V756" s="29"/>
      <c r="W756" s="29"/>
      <c r="X756" s="29"/>
      <c r="Y756" s="29"/>
      <c r="Z756" s="29"/>
    </row>
    <row r="757" ht="18.75" customHeight="1">
      <c r="A757" s="37"/>
      <c r="B757" s="38"/>
      <c r="C757" s="29"/>
      <c r="D757" s="39"/>
      <c r="E757" s="29"/>
      <c r="F757" s="40"/>
      <c r="G757" s="40"/>
      <c r="H757" s="40"/>
      <c r="I757" s="29"/>
      <c r="J757" s="29"/>
      <c r="K757" s="29"/>
      <c r="L757" s="29"/>
      <c r="M757" s="29"/>
      <c r="N757" s="29"/>
      <c r="O757" s="29"/>
      <c r="P757" s="29"/>
      <c r="Q757" s="29"/>
      <c r="R757" s="29"/>
      <c r="S757" s="29"/>
      <c r="T757" s="29"/>
      <c r="U757" s="29"/>
      <c r="V757" s="29"/>
      <c r="W757" s="29"/>
      <c r="X757" s="29"/>
      <c r="Y757" s="29"/>
      <c r="Z757" s="29"/>
    </row>
    <row r="758" ht="18.75" customHeight="1">
      <c r="A758" s="37"/>
      <c r="B758" s="38"/>
      <c r="C758" s="29"/>
      <c r="D758" s="39"/>
      <c r="E758" s="29"/>
      <c r="F758" s="40"/>
      <c r="G758" s="40"/>
      <c r="H758" s="40"/>
      <c r="I758" s="29"/>
      <c r="J758" s="29"/>
      <c r="K758" s="29"/>
      <c r="L758" s="29"/>
      <c r="M758" s="29"/>
      <c r="N758" s="29"/>
      <c r="O758" s="29"/>
      <c r="P758" s="29"/>
      <c r="Q758" s="29"/>
      <c r="R758" s="29"/>
      <c r="S758" s="29"/>
      <c r="T758" s="29"/>
      <c r="U758" s="29"/>
      <c r="V758" s="29"/>
      <c r="W758" s="29"/>
      <c r="X758" s="29"/>
      <c r="Y758" s="29"/>
      <c r="Z758" s="29"/>
    </row>
    <row r="759" ht="18.75" customHeight="1">
      <c r="A759" s="37"/>
      <c r="B759" s="38"/>
      <c r="C759" s="29"/>
      <c r="D759" s="39"/>
      <c r="E759" s="29"/>
      <c r="F759" s="40"/>
      <c r="G759" s="40"/>
      <c r="H759" s="40"/>
      <c r="I759" s="29"/>
      <c r="J759" s="29"/>
      <c r="K759" s="29"/>
      <c r="L759" s="29"/>
      <c r="M759" s="29"/>
      <c r="N759" s="29"/>
      <c r="O759" s="29"/>
      <c r="P759" s="29"/>
      <c r="Q759" s="29"/>
      <c r="R759" s="29"/>
      <c r="S759" s="29"/>
      <c r="T759" s="29"/>
      <c r="U759" s="29"/>
      <c r="V759" s="29"/>
      <c r="W759" s="29"/>
      <c r="X759" s="29"/>
      <c r="Y759" s="29"/>
      <c r="Z759" s="29"/>
    </row>
    <row r="760" ht="18.75" customHeight="1">
      <c r="A760" s="37"/>
      <c r="B760" s="38"/>
      <c r="C760" s="29"/>
      <c r="D760" s="39"/>
      <c r="E760" s="29"/>
      <c r="F760" s="40"/>
      <c r="G760" s="40"/>
      <c r="H760" s="40"/>
      <c r="I760" s="29"/>
      <c r="J760" s="29"/>
      <c r="K760" s="29"/>
      <c r="L760" s="29"/>
      <c r="M760" s="29"/>
      <c r="N760" s="29"/>
      <c r="O760" s="29"/>
      <c r="P760" s="29"/>
      <c r="Q760" s="29"/>
      <c r="R760" s="29"/>
      <c r="S760" s="29"/>
      <c r="T760" s="29"/>
      <c r="U760" s="29"/>
      <c r="V760" s="29"/>
      <c r="W760" s="29"/>
      <c r="X760" s="29"/>
      <c r="Y760" s="29"/>
      <c r="Z760" s="29"/>
    </row>
    <row r="761" ht="18.75" customHeight="1">
      <c r="A761" s="37"/>
      <c r="B761" s="38"/>
      <c r="C761" s="29"/>
      <c r="D761" s="39"/>
      <c r="E761" s="29"/>
      <c r="F761" s="40"/>
      <c r="G761" s="40"/>
      <c r="H761" s="40"/>
      <c r="I761" s="29"/>
      <c r="J761" s="29"/>
      <c r="K761" s="29"/>
      <c r="L761" s="29"/>
      <c r="M761" s="29"/>
      <c r="N761" s="29"/>
      <c r="O761" s="29"/>
      <c r="P761" s="29"/>
      <c r="Q761" s="29"/>
      <c r="R761" s="29"/>
      <c r="S761" s="29"/>
      <c r="T761" s="29"/>
      <c r="U761" s="29"/>
      <c r="V761" s="29"/>
      <c r="W761" s="29"/>
      <c r="X761" s="29"/>
      <c r="Y761" s="29"/>
      <c r="Z761" s="29"/>
    </row>
    <row r="762" ht="18.75" customHeight="1">
      <c r="A762" s="37"/>
      <c r="B762" s="38"/>
      <c r="C762" s="29"/>
      <c r="D762" s="39"/>
      <c r="E762" s="29"/>
      <c r="F762" s="40"/>
      <c r="G762" s="40"/>
      <c r="H762" s="40"/>
      <c r="I762" s="29"/>
      <c r="J762" s="29"/>
      <c r="K762" s="29"/>
      <c r="L762" s="29"/>
      <c r="M762" s="29"/>
      <c r="N762" s="29"/>
      <c r="O762" s="29"/>
      <c r="P762" s="29"/>
      <c r="Q762" s="29"/>
      <c r="R762" s="29"/>
      <c r="S762" s="29"/>
      <c r="T762" s="29"/>
      <c r="U762" s="29"/>
      <c r="V762" s="29"/>
      <c r="W762" s="29"/>
      <c r="X762" s="29"/>
      <c r="Y762" s="29"/>
      <c r="Z762" s="29"/>
    </row>
    <row r="763" ht="18.75" customHeight="1">
      <c r="A763" s="37"/>
      <c r="B763" s="38"/>
      <c r="C763" s="29"/>
      <c r="D763" s="39"/>
      <c r="E763" s="29"/>
      <c r="F763" s="40"/>
      <c r="G763" s="40"/>
      <c r="H763" s="40"/>
      <c r="I763" s="29"/>
      <c r="J763" s="29"/>
      <c r="K763" s="29"/>
      <c r="L763" s="29"/>
      <c r="M763" s="29"/>
      <c r="N763" s="29"/>
      <c r="O763" s="29"/>
      <c r="P763" s="29"/>
      <c r="Q763" s="29"/>
      <c r="R763" s="29"/>
      <c r="S763" s="29"/>
      <c r="T763" s="29"/>
      <c r="U763" s="29"/>
      <c r="V763" s="29"/>
      <c r="W763" s="29"/>
      <c r="X763" s="29"/>
      <c r="Y763" s="29"/>
      <c r="Z763" s="29"/>
    </row>
    <row r="764" ht="18.75" customHeight="1">
      <c r="A764" s="37"/>
      <c r="B764" s="38"/>
      <c r="C764" s="29"/>
      <c r="D764" s="39"/>
      <c r="E764" s="29"/>
      <c r="F764" s="40"/>
      <c r="G764" s="40"/>
      <c r="H764" s="40"/>
      <c r="I764" s="29"/>
      <c r="J764" s="29"/>
      <c r="K764" s="29"/>
      <c r="L764" s="29"/>
      <c r="M764" s="29"/>
      <c r="N764" s="29"/>
      <c r="O764" s="29"/>
      <c r="P764" s="29"/>
      <c r="Q764" s="29"/>
      <c r="R764" s="29"/>
      <c r="S764" s="29"/>
      <c r="T764" s="29"/>
      <c r="U764" s="29"/>
      <c r="V764" s="29"/>
      <c r="W764" s="29"/>
      <c r="X764" s="29"/>
      <c r="Y764" s="29"/>
      <c r="Z764" s="29"/>
    </row>
    <row r="765" ht="18.75" customHeight="1">
      <c r="A765" s="37"/>
      <c r="B765" s="38"/>
      <c r="C765" s="29"/>
      <c r="D765" s="39"/>
      <c r="E765" s="29"/>
      <c r="F765" s="40"/>
      <c r="G765" s="40"/>
      <c r="H765" s="40"/>
      <c r="I765" s="29"/>
      <c r="J765" s="29"/>
      <c r="K765" s="29"/>
      <c r="L765" s="29"/>
      <c r="M765" s="29"/>
      <c r="N765" s="29"/>
      <c r="O765" s="29"/>
      <c r="P765" s="29"/>
      <c r="Q765" s="29"/>
      <c r="R765" s="29"/>
      <c r="S765" s="29"/>
      <c r="T765" s="29"/>
      <c r="U765" s="29"/>
      <c r="V765" s="29"/>
      <c r="W765" s="29"/>
      <c r="X765" s="29"/>
      <c r="Y765" s="29"/>
      <c r="Z765" s="29"/>
    </row>
    <row r="766" ht="18.75" customHeight="1">
      <c r="A766" s="37"/>
      <c r="B766" s="38"/>
      <c r="C766" s="29"/>
      <c r="D766" s="39"/>
      <c r="E766" s="29"/>
      <c r="F766" s="40"/>
      <c r="G766" s="40"/>
      <c r="H766" s="40"/>
      <c r="I766" s="29"/>
      <c r="J766" s="29"/>
      <c r="K766" s="29"/>
      <c r="L766" s="29"/>
      <c r="M766" s="29"/>
      <c r="N766" s="29"/>
      <c r="O766" s="29"/>
      <c r="P766" s="29"/>
      <c r="Q766" s="29"/>
      <c r="R766" s="29"/>
      <c r="S766" s="29"/>
      <c r="T766" s="29"/>
      <c r="U766" s="29"/>
      <c r="V766" s="29"/>
      <c r="W766" s="29"/>
      <c r="X766" s="29"/>
      <c r="Y766" s="29"/>
      <c r="Z766" s="29"/>
    </row>
    <row r="767" ht="18.75" customHeight="1">
      <c r="A767" s="37"/>
      <c r="B767" s="38"/>
      <c r="C767" s="29"/>
      <c r="D767" s="39"/>
      <c r="E767" s="29"/>
      <c r="F767" s="40"/>
      <c r="G767" s="40"/>
      <c r="H767" s="40"/>
      <c r="I767" s="29"/>
      <c r="J767" s="29"/>
      <c r="K767" s="29"/>
      <c r="L767" s="29"/>
      <c r="M767" s="29"/>
      <c r="N767" s="29"/>
      <c r="O767" s="29"/>
      <c r="P767" s="29"/>
      <c r="Q767" s="29"/>
      <c r="R767" s="29"/>
      <c r="S767" s="29"/>
      <c r="T767" s="29"/>
      <c r="U767" s="29"/>
      <c r="V767" s="29"/>
      <c r="W767" s="29"/>
      <c r="X767" s="29"/>
      <c r="Y767" s="29"/>
      <c r="Z767" s="29"/>
    </row>
    <row r="768" ht="18.75" customHeight="1">
      <c r="A768" s="37"/>
      <c r="B768" s="38"/>
      <c r="C768" s="29"/>
      <c r="D768" s="39"/>
      <c r="E768" s="29"/>
      <c r="F768" s="40"/>
      <c r="G768" s="40"/>
      <c r="H768" s="40"/>
      <c r="I768" s="29"/>
      <c r="J768" s="29"/>
      <c r="K768" s="29"/>
      <c r="L768" s="29"/>
      <c r="M768" s="29"/>
      <c r="N768" s="29"/>
      <c r="O768" s="29"/>
      <c r="P768" s="29"/>
      <c r="Q768" s="29"/>
      <c r="R768" s="29"/>
      <c r="S768" s="29"/>
      <c r="T768" s="29"/>
      <c r="U768" s="29"/>
      <c r="V768" s="29"/>
      <c r="W768" s="29"/>
      <c r="X768" s="29"/>
      <c r="Y768" s="29"/>
      <c r="Z768" s="29"/>
    </row>
    <row r="769" ht="18.75" customHeight="1">
      <c r="A769" s="37"/>
      <c r="B769" s="38"/>
      <c r="C769" s="29"/>
      <c r="D769" s="39"/>
      <c r="E769" s="29"/>
      <c r="F769" s="40"/>
      <c r="G769" s="40"/>
      <c r="H769" s="40"/>
      <c r="I769" s="29"/>
      <c r="J769" s="29"/>
      <c r="K769" s="29"/>
      <c r="L769" s="29"/>
      <c r="M769" s="29"/>
      <c r="N769" s="29"/>
      <c r="O769" s="29"/>
      <c r="P769" s="29"/>
      <c r="Q769" s="29"/>
      <c r="R769" s="29"/>
      <c r="S769" s="29"/>
      <c r="T769" s="29"/>
      <c r="U769" s="29"/>
      <c r="V769" s="29"/>
      <c r="W769" s="29"/>
      <c r="X769" s="29"/>
      <c r="Y769" s="29"/>
      <c r="Z769" s="29"/>
    </row>
    <row r="770" ht="18.75" customHeight="1">
      <c r="A770" s="37"/>
      <c r="B770" s="38"/>
      <c r="C770" s="29"/>
      <c r="D770" s="39"/>
      <c r="E770" s="29"/>
      <c r="F770" s="40"/>
      <c r="G770" s="40"/>
      <c r="H770" s="40"/>
      <c r="I770" s="29"/>
      <c r="J770" s="29"/>
      <c r="K770" s="29"/>
      <c r="L770" s="29"/>
      <c r="M770" s="29"/>
      <c r="N770" s="29"/>
      <c r="O770" s="29"/>
      <c r="P770" s="29"/>
      <c r="Q770" s="29"/>
      <c r="R770" s="29"/>
      <c r="S770" s="29"/>
      <c r="T770" s="29"/>
      <c r="U770" s="29"/>
      <c r="V770" s="29"/>
      <c r="W770" s="29"/>
      <c r="X770" s="29"/>
      <c r="Y770" s="29"/>
      <c r="Z770" s="29"/>
    </row>
    <row r="771" ht="18.75" customHeight="1">
      <c r="A771" s="37"/>
      <c r="B771" s="38"/>
      <c r="C771" s="29"/>
      <c r="D771" s="39"/>
      <c r="E771" s="29"/>
      <c r="F771" s="40"/>
      <c r="G771" s="40"/>
      <c r="H771" s="40"/>
      <c r="I771" s="29"/>
      <c r="J771" s="29"/>
      <c r="K771" s="29"/>
      <c r="L771" s="29"/>
      <c r="M771" s="29"/>
      <c r="N771" s="29"/>
      <c r="O771" s="29"/>
      <c r="P771" s="29"/>
      <c r="Q771" s="29"/>
      <c r="R771" s="29"/>
      <c r="S771" s="29"/>
      <c r="T771" s="29"/>
      <c r="U771" s="29"/>
      <c r="V771" s="29"/>
      <c r="W771" s="29"/>
      <c r="X771" s="29"/>
      <c r="Y771" s="29"/>
      <c r="Z771" s="29"/>
    </row>
    <row r="772" ht="18.75" customHeight="1">
      <c r="A772" s="37"/>
      <c r="B772" s="38"/>
      <c r="C772" s="29"/>
      <c r="D772" s="39"/>
      <c r="E772" s="29"/>
      <c r="F772" s="40"/>
      <c r="G772" s="40"/>
      <c r="H772" s="40"/>
      <c r="I772" s="29"/>
      <c r="J772" s="29"/>
      <c r="K772" s="29"/>
      <c r="L772" s="29"/>
      <c r="M772" s="29"/>
      <c r="N772" s="29"/>
      <c r="O772" s="29"/>
      <c r="P772" s="29"/>
      <c r="Q772" s="29"/>
      <c r="R772" s="29"/>
      <c r="S772" s="29"/>
      <c r="T772" s="29"/>
      <c r="U772" s="29"/>
      <c r="V772" s="29"/>
      <c r="W772" s="29"/>
      <c r="X772" s="29"/>
      <c r="Y772" s="29"/>
      <c r="Z772" s="29"/>
    </row>
    <row r="773" ht="18.75" customHeight="1">
      <c r="A773" s="37"/>
      <c r="B773" s="38"/>
      <c r="C773" s="29"/>
      <c r="D773" s="39"/>
      <c r="E773" s="29"/>
      <c r="F773" s="40"/>
      <c r="G773" s="40"/>
      <c r="H773" s="40"/>
      <c r="I773" s="29"/>
      <c r="J773" s="29"/>
      <c r="K773" s="29"/>
      <c r="L773" s="29"/>
      <c r="M773" s="29"/>
      <c r="N773" s="29"/>
      <c r="O773" s="29"/>
      <c r="P773" s="29"/>
      <c r="Q773" s="29"/>
      <c r="R773" s="29"/>
      <c r="S773" s="29"/>
      <c r="T773" s="29"/>
      <c r="U773" s="29"/>
      <c r="V773" s="29"/>
      <c r="W773" s="29"/>
      <c r="X773" s="29"/>
      <c r="Y773" s="29"/>
      <c r="Z773" s="29"/>
    </row>
    <row r="774" ht="18.75" customHeight="1">
      <c r="A774" s="37"/>
      <c r="B774" s="38"/>
      <c r="C774" s="29"/>
      <c r="D774" s="39"/>
      <c r="E774" s="29"/>
      <c r="F774" s="40"/>
      <c r="G774" s="40"/>
      <c r="H774" s="40"/>
      <c r="I774" s="29"/>
      <c r="J774" s="29"/>
      <c r="K774" s="29"/>
      <c r="L774" s="29"/>
      <c r="M774" s="29"/>
      <c r="N774" s="29"/>
      <c r="O774" s="29"/>
      <c r="P774" s="29"/>
      <c r="Q774" s="29"/>
      <c r="R774" s="29"/>
      <c r="S774" s="29"/>
      <c r="T774" s="29"/>
      <c r="U774" s="29"/>
      <c r="V774" s="29"/>
      <c r="W774" s="29"/>
      <c r="X774" s="29"/>
      <c r="Y774" s="29"/>
      <c r="Z774" s="29"/>
    </row>
    <row r="775" ht="18.75" customHeight="1">
      <c r="A775" s="37"/>
      <c r="B775" s="38"/>
      <c r="C775" s="29"/>
      <c r="D775" s="39"/>
      <c r="E775" s="29"/>
      <c r="F775" s="40"/>
      <c r="G775" s="40"/>
      <c r="H775" s="40"/>
      <c r="I775" s="29"/>
      <c r="J775" s="29"/>
      <c r="K775" s="29"/>
      <c r="L775" s="29"/>
      <c r="M775" s="29"/>
      <c r="N775" s="29"/>
      <c r="O775" s="29"/>
      <c r="P775" s="29"/>
      <c r="Q775" s="29"/>
      <c r="R775" s="29"/>
      <c r="S775" s="29"/>
      <c r="T775" s="29"/>
      <c r="U775" s="29"/>
      <c r="V775" s="29"/>
      <c r="W775" s="29"/>
      <c r="X775" s="29"/>
      <c r="Y775" s="29"/>
      <c r="Z775" s="29"/>
    </row>
    <row r="776" ht="18.75" customHeight="1">
      <c r="A776" s="37"/>
      <c r="B776" s="38"/>
      <c r="C776" s="29"/>
      <c r="D776" s="39"/>
      <c r="E776" s="29"/>
      <c r="F776" s="40"/>
      <c r="G776" s="40"/>
      <c r="H776" s="40"/>
      <c r="I776" s="29"/>
      <c r="J776" s="29"/>
      <c r="K776" s="29"/>
      <c r="L776" s="29"/>
      <c r="M776" s="29"/>
      <c r="N776" s="29"/>
      <c r="O776" s="29"/>
      <c r="P776" s="29"/>
      <c r="Q776" s="29"/>
      <c r="R776" s="29"/>
      <c r="S776" s="29"/>
      <c r="T776" s="29"/>
      <c r="U776" s="29"/>
      <c r="V776" s="29"/>
      <c r="W776" s="29"/>
      <c r="X776" s="29"/>
      <c r="Y776" s="29"/>
      <c r="Z776" s="29"/>
    </row>
    <row r="777" ht="18.75" customHeight="1">
      <c r="A777" s="37"/>
      <c r="B777" s="38"/>
      <c r="C777" s="29"/>
      <c r="D777" s="39"/>
      <c r="E777" s="29"/>
      <c r="F777" s="40"/>
      <c r="G777" s="40"/>
      <c r="H777" s="40"/>
      <c r="I777" s="29"/>
      <c r="J777" s="29"/>
      <c r="K777" s="29"/>
      <c r="L777" s="29"/>
      <c r="M777" s="29"/>
      <c r="N777" s="29"/>
      <c r="O777" s="29"/>
      <c r="P777" s="29"/>
      <c r="Q777" s="29"/>
      <c r="R777" s="29"/>
      <c r="S777" s="29"/>
      <c r="T777" s="29"/>
      <c r="U777" s="29"/>
      <c r="V777" s="29"/>
      <c r="W777" s="29"/>
      <c r="X777" s="29"/>
      <c r="Y777" s="29"/>
      <c r="Z777" s="29"/>
    </row>
    <row r="778" ht="18.75" customHeight="1">
      <c r="A778" s="37"/>
      <c r="B778" s="38"/>
      <c r="C778" s="29"/>
      <c r="D778" s="39"/>
      <c r="E778" s="29"/>
      <c r="F778" s="40"/>
      <c r="G778" s="40"/>
      <c r="H778" s="40"/>
      <c r="I778" s="29"/>
      <c r="J778" s="29"/>
      <c r="K778" s="29"/>
      <c r="L778" s="29"/>
      <c r="M778" s="29"/>
      <c r="N778" s="29"/>
      <c r="O778" s="29"/>
      <c r="P778" s="29"/>
      <c r="Q778" s="29"/>
      <c r="R778" s="29"/>
      <c r="S778" s="29"/>
      <c r="T778" s="29"/>
      <c r="U778" s="29"/>
      <c r="V778" s="29"/>
      <c r="W778" s="29"/>
      <c r="X778" s="29"/>
      <c r="Y778" s="29"/>
      <c r="Z778" s="29"/>
    </row>
    <row r="779" ht="18.75" customHeight="1">
      <c r="A779" s="37"/>
      <c r="B779" s="38"/>
      <c r="C779" s="29"/>
      <c r="D779" s="39"/>
      <c r="E779" s="29"/>
      <c r="F779" s="40"/>
      <c r="G779" s="40"/>
      <c r="H779" s="40"/>
      <c r="I779" s="29"/>
      <c r="J779" s="29"/>
      <c r="K779" s="29"/>
      <c r="L779" s="29"/>
      <c r="M779" s="29"/>
      <c r="N779" s="29"/>
      <c r="O779" s="29"/>
      <c r="P779" s="29"/>
      <c r="Q779" s="29"/>
      <c r="R779" s="29"/>
      <c r="S779" s="29"/>
      <c r="T779" s="29"/>
      <c r="U779" s="29"/>
      <c r="V779" s="29"/>
      <c r="W779" s="29"/>
      <c r="X779" s="29"/>
      <c r="Y779" s="29"/>
      <c r="Z779" s="29"/>
    </row>
    <row r="780" ht="18.75" customHeight="1">
      <c r="A780" s="37"/>
      <c r="B780" s="38"/>
      <c r="C780" s="29"/>
      <c r="D780" s="39"/>
      <c r="E780" s="29"/>
      <c r="F780" s="40"/>
      <c r="G780" s="40"/>
      <c r="H780" s="40"/>
      <c r="I780" s="29"/>
      <c r="J780" s="29"/>
      <c r="K780" s="29"/>
      <c r="L780" s="29"/>
      <c r="M780" s="29"/>
      <c r="N780" s="29"/>
      <c r="O780" s="29"/>
      <c r="P780" s="29"/>
      <c r="Q780" s="29"/>
      <c r="R780" s="29"/>
      <c r="S780" s="29"/>
      <c r="T780" s="29"/>
      <c r="U780" s="29"/>
      <c r="V780" s="29"/>
      <c r="W780" s="29"/>
      <c r="X780" s="29"/>
      <c r="Y780" s="29"/>
      <c r="Z780" s="29"/>
    </row>
    <row r="781" ht="18.75" customHeight="1">
      <c r="A781" s="37"/>
      <c r="B781" s="38"/>
      <c r="C781" s="29"/>
      <c r="D781" s="39"/>
      <c r="E781" s="29"/>
      <c r="F781" s="40"/>
      <c r="G781" s="40"/>
      <c r="H781" s="40"/>
      <c r="I781" s="29"/>
      <c r="J781" s="29"/>
      <c r="K781" s="29"/>
      <c r="L781" s="29"/>
      <c r="M781" s="29"/>
      <c r="N781" s="29"/>
      <c r="O781" s="29"/>
      <c r="P781" s="29"/>
      <c r="Q781" s="29"/>
      <c r="R781" s="29"/>
      <c r="S781" s="29"/>
      <c r="T781" s="29"/>
      <c r="U781" s="29"/>
      <c r="V781" s="29"/>
      <c r="W781" s="29"/>
      <c r="X781" s="29"/>
      <c r="Y781" s="29"/>
      <c r="Z781" s="29"/>
    </row>
    <row r="782" ht="18.75" customHeight="1">
      <c r="A782" s="37"/>
      <c r="B782" s="38"/>
      <c r="C782" s="29"/>
      <c r="D782" s="39"/>
      <c r="E782" s="29"/>
      <c r="F782" s="40"/>
      <c r="G782" s="40"/>
      <c r="H782" s="40"/>
      <c r="I782" s="29"/>
      <c r="J782" s="29"/>
      <c r="K782" s="29"/>
      <c r="L782" s="29"/>
      <c r="M782" s="29"/>
      <c r="N782" s="29"/>
      <c r="O782" s="29"/>
      <c r="P782" s="29"/>
      <c r="Q782" s="29"/>
      <c r="R782" s="29"/>
      <c r="S782" s="29"/>
      <c r="T782" s="29"/>
      <c r="U782" s="29"/>
      <c r="V782" s="29"/>
      <c r="W782" s="29"/>
      <c r="X782" s="29"/>
      <c r="Y782" s="29"/>
      <c r="Z782" s="29"/>
    </row>
    <row r="783" ht="18.75" customHeight="1">
      <c r="A783" s="37"/>
      <c r="B783" s="38"/>
      <c r="C783" s="29"/>
      <c r="D783" s="39"/>
      <c r="E783" s="29"/>
      <c r="F783" s="40"/>
      <c r="G783" s="40"/>
      <c r="H783" s="40"/>
      <c r="I783" s="29"/>
      <c r="J783" s="29"/>
      <c r="K783" s="29"/>
      <c r="L783" s="29"/>
      <c r="M783" s="29"/>
      <c r="N783" s="29"/>
      <c r="O783" s="29"/>
      <c r="P783" s="29"/>
      <c r="Q783" s="29"/>
      <c r="R783" s="29"/>
      <c r="S783" s="29"/>
      <c r="T783" s="29"/>
      <c r="U783" s="29"/>
      <c r="V783" s="29"/>
      <c r="W783" s="29"/>
      <c r="X783" s="29"/>
      <c r="Y783" s="29"/>
      <c r="Z783" s="29"/>
    </row>
    <row r="784" ht="18.75" customHeight="1">
      <c r="A784" s="37"/>
      <c r="B784" s="38"/>
      <c r="C784" s="29"/>
      <c r="D784" s="39"/>
      <c r="E784" s="29"/>
      <c r="F784" s="40"/>
      <c r="G784" s="40"/>
      <c r="H784" s="40"/>
      <c r="I784" s="29"/>
      <c r="J784" s="29"/>
      <c r="K784" s="29"/>
      <c r="L784" s="29"/>
      <c r="M784" s="29"/>
      <c r="N784" s="29"/>
      <c r="O784" s="29"/>
      <c r="P784" s="29"/>
      <c r="Q784" s="29"/>
      <c r="R784" s="29"/>
      <c r="S784" s="29"/>
      <c r="T784" s="29"/>
      <c r="U784" s="29"/>
      <c r="V784" s="29"/>
      <c r="W784" s="29"/>
      <c r="X784" s="29"/>
      <c r="Y784" s="29"/>
      <c r="Z784" s="29"/>
    </row>
    <row r="785" ht="18.75" customHeight="1">
      <c r="A785" s="37"/>
      <c r="B785" s="38"/>
      <c r="C785" s="29"/>
      <c r="D785" s="39"/>
      <c r="E785" s="29"/>
      <c r="F785" s="40"/>
      <c r="G785" s="40"/>
      <c r="H785" s="40"/>
      <c r="I785" s="29"/>
      <c r="J785" s="29"/>
      <c r="K785" s="29"/>
      <c r="L785" s="29"/>
      <c r="M785" s="29"/>
      <c r="N785" s="29"/>
      <c r="O785" s="29"/>
      <c r="P785" s="29"/>
      <c r="Q785" s="29"/>
      <c r="R785" s="29"/>
      <c r="S785" s="29"/>
      <c r="T785" s="29"/>
      <c r="U785" s="29"/>
      <c r="V785" s="29"/>
      <c r="W785" s="29"/>
      <c r="X785" s="29"/>
      <c r="Y785" s="29"/>
      <c r="Z785" s="29"/>
    </row>
    <row r="786" ht="18.75" customHeight="1">
      <c r="A786" s="37"/>
      <c r="B786" s="38"/>
      <c r="C786" s="29"/>
      <c r="D786" s="39"/>
      <c r="E786" s="29"/>
      <c r="F786" s="40"/>
      <c r="G786" s="40"/>
      <c r="H786" s="40"/>
      <c r="I786" s="29"/>
      <c r="J786" s="29"/>
      <c r="K786" s="29"/>
      <c r="L786" s="29"/>
      <c r="M786" s="29"/>
      <c r="N786" s="29"/>
      <c r="O786" s="29"/>
      <c r="P786" s="29"/>
      <c r="Q786" s="29"/>
      <c r="R786" s="29"/>
      <c r="S786" s="29"/>
      <c r="T786" s="29"/>
      <c r="U786" s="29"/>
      <c r="V786" s="29"/>
      <c r="W786" s="29"/>
      <c r="X786" s="29"/>
      <c r="Y786" s="29"/>
      <c r="Z786" s="29"/>
    </row>
    <row r="787" ht="18.75" customHeight="1">
      <c r="A787" s="37"/>
      <c r="B787" s="38"/>
      <c r="C787" s="29"/>
      <c r="D787" s="39"/>
      <c r="E787" s="29"/>
      <c r="F787" s="40"/>
      <c r="G787" s="40"/>
      <c r="H787" s="40"/>
      <c r="I787" s="29"/>
      <c r="J787" s="29"/>
      <c r="K787" s="29"/>
      <c r="L787" s="29"/>
      <c r="M787" s="29"/>
      <c r="N787" s="29"/>
      <c r="O787" s="29"/>
      <c r="P787" s="29"/>
      <c r="Q787" s="29"/>
      <c r="R787" s="29"/>
      <c r="S787" s="29"/>
      <c r="T787" s="29"/>
      <c r="U787" s="29"/>
      <c r="V787" s="29"/>
      <c r="W787" s="29"/>
      <c r="X787" s="29"/>
      <c r="Y787" s="29"/>
      <c r="Z787" s="29"/>
    </row>
    <row r="788" ht="18.75" customHeight="1">
      <c r="A788" s="37"/>
      <c r="B788" s="38"/>
      <c r="C788" s="29"/>
      <c r="D788" s="39"/>
      <c r="E788" s="29"/>
      <c r="F788" s="40"/>
      <c r="G788" s="40"/>
      <c r="H788" s="40"/>
      <c r="I788" s="29"/>
      <c r="J788" s="29"/>
      <c r="K788" s="29"/>
      <c r="L788" s="29"/>
      <c r="M788" s="29"/>
      <c r="N788" s="29"/>
      <c r="O788" s="29"/>
      <c r="P788" s="29"/>
      <c r="Q788" s="29"/>
      <c r="R788" s="29"/>
      <c r="S788" s="29"/>
      <c r="T788" s="29"/>
      <c r="U788" s="29"/>
      <c r="V788" s="29"/>
      <c r="W788" s="29"/>
      <c r="X788" s="29"/>
      <c r="Y788" s="29"/>
      <c r="Z788" s="29"/>
    </row>
    <row r="789" ht="18.75" customHeight="1">
      <c r="A789" s="37"/>
      <c r="B789" s="38"/>
      <c r="C789" s="29"/>
      <c r="D789" s="39"/>
      <c r="E789" s="29"/>
      <c r="F789" s="40"/>
      <c r="G789" s="40"/>
      <c r="H789" s="40"/>
      <c r="I789" s="29"/>
      <c r="J789" s="29"/>
      <c r="K789" s="29"/>
      <c r="L789" s="29"/>
      <c r="M789" s="29"/>
      <c r="N789" s="29"/>
      <c r="O789" s="29"/>
      <c r="P789" s="29"/>
      <c r="Q789" s="29"/>
      <c r="R789" s="29"/>
      <c r="S789" s="29"/>
      <c r="T789" s="29"/>
      <c r="U789" s="29"/>
      <c r="V789" s="29"/>
      <c r="W789" s="29"/>
      <c r="X789" s="29"/>
      <c r="Y789" s="29"/>
      <c r="Z789" s="29"/>
    </row>
    <row r="790" ht="18.75" customHeight="1">
      <c r="A790" s="37"/>
      <c r="B790" s="38"/>
      <c r="C790" s="29"/>
      <c r="D790" s="39"/>
      <c r="E790" s="29"/>
      <c r="F790" s="40"/>
      <c r="G790" s="40"/>
      <c r="H790" s="40"/>
      <c r="I790" s="29"/>
      <c r="J790" s="29"/>
      <c r="K790" s="29"/>
      <c r="L790" s="29"/>
      <c r="M790" s="29"/>
      <c r="N790" s="29"/>
      <c r="O790" s="29"/>
      <c r="P790" s="29"/>
      <c r="Q790" s="29"/>
      <c r="R790" s="29"/>
      <c r="S790" s="29"/>
      <c r="T790" s="29"/>
      <c r="U790" s="29"/>
      <c r="V790" s="29"/>
      <c r="W790" s="29"/>
      <c r="X790" s="29"/>
      <c r="Y790" s="29"/>
      <c r="Z790" s="29"/>
    </row>
    <row r="791" ht="18.75" customHeight="1">
      <c r="A791" s="37"/>
      <c r="B791" s="38"/>
      <c r="C791" s="29"/>
      <c r="D791" s="39"/>
      <c r="E791" s="29"/>
      <c r="F791" s="40"/>
      <c r="G791" s="40"/>
      <c r="H791" s="40"/>
      <c r="I791" s="29"/>
      <c r="J791" s="29"/>
      <c r="K791" s="29"/>
      <c r="L791" s="29"/>
      <c r="M791" s="29"/>
      <c r="N791" s="29"/>
      <c r="O791" s="29"/>
      <c r="P791" s="29"/>
      <c r="Q791" s="29"/>
      <c r="R791" s="29"/>
      <c r="S791" s="29"/>
      <c r="T791" s="29"/>
      <c r="U791" s="29"/>
      <c r="V791" s="29"/>
      <c r="W791" s="29"/>
      <c r="X791" s="29"/>
      <c r="Y791" s="29"/>
      <c r="Z791" s="29"/>
    </row>
    <row r="792" ht="18.75" customHeight="1">
      <c r="A792" s="37"/>
      <c r="B792" s="38"/>
      <c r="C792" s="29"/>
      <c r="D792" s="39"/>
      <c r="E792" s="29"/>
      <c r="F792" s="40"/>
      <c r="G792" s="40"/>
      <c r="H792" s="40"/>
      <c r="I792" s="29"/>
      <c r="J792" s="29"/>
      <c r="K792" s="29"/>
      <c r="L792" s="29"/>
      <c r="M792" s="29"/>
      <c r="N792" s="29"/>
      <c r="O792" s="29"/>
      <c r="P792" s="29"/>
      <c r="Q792" s="29"/>
      <c r="R792" s="29"/>
      <c r="S792" s="29"/>
      <c r="T792" s="29"/>
      <c r="U792" s="29"/>
      <c r="V792" s="29"/>
      <c r="W792" s="29"/>
      <c r="X792" s="29"/>
      <c r="Y792" s="29"/>
      <c r="Z792" s="29"/>
    </row>
    <row r="793" ht="18.75" customHeight="1">
      <c r="A793" s="37"/>
      <c r="B793" s="38"/>
      <c r="C793" s="29"/>
      <c r="D793" s="39"/>
      <c r="E793" s="29"/>
      <c r="F793" s="40"/>
      <c r="G793" s="40"/>
      <c r="H793" s="40"/>
      <c r="I793" s="29"/>
      <c r="J793" s="29"/>
      <c r="K793" s="29"/>
      <c r="L793" s="29"/>
      <c r="M793" s="29"/>
      <c r="N793" s="29"/>
      <c r="O793" s="29"/>
      <c r="P793" s="29"/>
      <c r="Q793" s="29"/>
      <c r="R793" s="29"/>
      <c r="S793" s="29"/>
      <c r="T793" s="29"/>
      <c r="U793" s="29"/>
      <c r="V793" s="29"/>
      <c r="W793" s="29"/>
      <c r="X793" s="29"/>
      <c r="Y793" s="29"/>
      <c r="Z793" s="29"/>
    </row>
    <row r="794" ht="18.75" customHeight="1">
      <c r="A794" s="37"/>
      <c r="B794" s="38"/>
      <c r="C794" s="29"/>
      <c r="D794" s="39"/>
      <c r="E794" s="29"/>
      <c r="F794" s="40"/>
      <c r="G794" s="40"/>
      <c r="H794" s="40"/>
      <c r="I794" s="29"/>
      <c r="J794" s="29"/>
      <c r="K794" s="29"/>
      <c r="L794" s="29"/>
      <c r="M794" s="29"/>
      <c r="N794" s="29"/>
      <c r="O794" s="29"/>
      <c r="P794" s="29"/>
      <c r="Q794" s="29"/>
      <c r="R794" s="29"/>
      <c r="S794" s="29"/>
      <c r="T794" s="29"/>
      <c r="U794" s="29"/>
      <c r="V794" s="29"/>
      <c r="W794" s="29"/>
      <c r="X794" s="29"/>
      <c r="Y794" s="29"/>
      <c r="Z794" s="29"/>
    </row>
    <row r="795" ht="18.75" customHeight="1">
      <c r="A795" s="37"/>
      <c r="B795" s="38"/>
      <c r="C795" s="29"/>
      <c r="D795" s="39"/>
      <c r="E795" s="29"/>
      <c r="F795" s="40"/>
      <c r="G795" s="40"/>
      <c r="H795" s="40"/>
      <c r="I795" s="29"/>
      <c r="J795" s="29"/>
      <c r="K795" s="29"/>
      <c r="L795" s="29"/>
      <c r="M795" s="29"/>
      <c r="N795" s="29"/>
      <c r="O795" s="29"/>
      <c r="P795" s="29"/>
      <c r="Q795" s="29"/>
      <c r="R795" s="29"/>
      <c r="S795" s="29"/>
      <c r="T795" s="29"/>
      <c r="U795" s="29"/>
      <c r="V795" s="29"/>
      <c r="W795" s="29"/>
      <c r="X795" s="29"/>
      <c r="Y795" s="29"/>
      <c r="Z795" s="29"/>
    </row>
    <row r="796" ht="18.75" customHeight="1">
      <c r="A796" s="37"/>
      <c r="B796" s="38"/>
      <c r="C796" s="29"/>
      <c r="D796" s="39"/>
      <c r="E796" s="29"/>
      <c r="F796" s="40"/>
      <c r="G796" s="40"/>
      <c r="H796" s="40"/>
      <c r="I796" s="29"/>
      <c r="J796" s="29"/>
      <c r="K796" s="29"/>
      <c r="L796" s="29"/>
      <c r="M796" s="29"/>
      <c r="N796" s="29"/>
      <c r="O796" s="29"/>
      <c r="P796" s="29"/>
      <c r="Q796" s="29"/>
      <c r="R796" s="29"/>
      <c r="S796" s="29"/>
      <c r="T796" s="29"/>
      <c r="U796" s="29"/>
      <c r="V796" s="29"/>
      <c r="W796" s="29"/>
      <c r="X796" s="29"/>
      <c r="Y796" s="29"/>
      <c r="Z796" s="29"/>
    </row>
    <row r="797" ht="18.75" customHeight="1">
      <c r="A797" s="37"/>
      <c r="B797" s="38"/>
      <c r="C797" s="29"/>
      <c r="D797" s="39"/>
      <c r="E797" s="29"/>
      <c r="F797" s="40"/>
      <c r="G797" s="40"/>
      <c r="H797" s="40"/>
      <c r="I797" s="29"/>
      <c r="J797" s="29"/>
      <c r="K797" s="29"/>
      <c r="L797" s="29"/>
      <c r="M797" s="29"/>
      <c r="N797" s="29"/>
      <c r="O797" s="29"/>
      <c r="P797" s="29"/>
      <c r="Q797" s="29"/>
      <c r="R797" s="29"/>
      <c r="S797" s="29"/>
      <c r="T797" s="29"/>
      <c r="U797" s="29"/>
      <c r="V797" s="29"/>
      <c r="W797" s="29"/>
      <c r="X797" s="29"/>
      <c r="Y797" s="29"/>
      <c r="Z797" s="29"/>
    </row>
    <row r="798" ht="18.75" customHeight="1">
      <c r="A798" s="37"/>
      <c r="B798" s="38"/>
      <c r="C798" s="29"/>
      <c r="D798" s="39"/>
      <c r="E798" s="29"/>
      <c r="F798" s="40"/>
      <c r="G798" s="40"/>
      <c r="H798" s="40"/>
      <c r="I798" s="29"/>
      <c r="J798" s="29"/>
      <c r="K798" s="29"/>
      <c r="L798" s="29"/>
      <c r="M798" s="29"/>
      <c r="N798" s="29"/>
      <c r="O798" s="29"/>
      <c r="P798" s="29"/>
      <c r="Q798" s="29"/>
      <c r="R798" s="29"/>
      <c r="S798" s="29"/>
      <c r="T798" s="29"/>
      <c r="U798" s="29"/>
      <c r="V798" s="29"/>
      <c r="W798" s="29"/>
      <c r="X798" s="29"/>
      <c r="Y798" s="29"/>
      <c r="Z798" s="29"/>
    </row>
    <row r="799" ht="18.75" customHeight="1">
      <c r="A799" s="37"/>
      <c r="B799" s="38"/>
      <c r="C799" s="29"/>
      <c r="D799" s="39"/>
      <c r="E799" s="29"/>
      <c r="F799" s="40"/>
      <c r="G799" s="40"/>
      <c r="H799" s="40"/>
      <c r="I799" s="29"/>
      <c r="J799" s="29"/>
      <c r="K799" s="29"/>
      <c r="L799" s="29"/>
      <c r="M799" s="29"/>
      <c r="N799" s="29"/>
      <c r="O799" s="29"/>
      <c r="P799" s="29"/>
      <c r="Q799" s="29"/>
      <c r="R799" s="29"/>
      <c r="S799" s="29"/>
      <c r="T799" s="29"/>
      <c r="U799" s="29"/>
      <c r="V799" s="29"/>
      <c r="W799" s="29"/>
      <c r="X799" s="29"/>
      <c r="Y799" s="29"/>
      <c r="Z799" s="29"/>
    </row>
    <row r="800" ht="18.75" customHeight="1">
      <c r="A800" s="37"/>
      <c r="B800" s="38"/>
      <c r="C800" s="29"/>
      <c r="D800" s="39"/>
      <c r="E800" s="29"/>
      <c r="F800" s="40"/>
      <c r="G800" s="40"/>
      <c r="H800" s="40"/>
      <c r="I800" s="29"/>
      <c r="J800" s="29"/>
      <c r="K800" s="29"/>
      <c r="L800" s="29"/>
      <c r="M800" s="29"/>
      <c r="N800" s="29"/>
      <c r="O800" s="29"/>
      <c r="P800" s="29"/>
      <c r="Q800" s="29"/>
      <c r="R800" s="29"/>
      <c r="S800" s="29"/>
      <c r="T800" s="29"/>
      <c r="U800" s="29"/>
      <c r="V800" s="29"/>
      <c r="W800" s="29"/>
      <c r="X800" s="29"/>
      <c r="Y800" s="29"/>
      <c r="Z800" s="29"/>
    </row>
    <row r="801" ht="18.75" customHeight="1">
      <c r="A801" s="37"/>
      <c r="B801" s="38"/>
      <c r="C801" s="29"/>
      <c r="D801" s="39"/>
      <c r="E801" s="29"/>
      <c r="F801" s="40"/>
      <c r="G801" s="40"/>
      <c r="H801" s="40"/>
      <c r="I801" s="29"/>
      <c r="J801" s="29"/>
      <c r="K801" s="29"/>
      <c r="L801" s="29"/>
      <c r="M801" s="29"/>
      <c r="N801" s="29"/>
      <c r="O801" s="29"/>
      <c r="P801" s="29"/>
      <c r="Q801" s="29"/>
      <c r="R801" s="29"/>
      <c r="S801" s="29"/>
      <c r="T801" s="29"/>
      <c r="U801" s="29"/>
      <c r="V801" s="29"/>
      <c r="W801" s="29"/>
      <c r="X801" s="29"/>
      <c r="Y801" s="29"/>
      <c r="Z801" s="29"/>
    </row>
    <row r="802" ht="18.75" customHeight="1">
      <c r="A802" s="37"/>
      <c r="B802" s="38"/>
      <c r="C802" s="29"/>
      <c r="D802" s="39"/>
      <c r="E802" s="29"/>
      <c r="F802" s="40"/>
      <c r="G802" s="40"/>
      <c r="H802" s="40"/>
      <c r="I802" s="29"/>
      <c r="J802" s="29"/>
      <c r="K802" s="29"/>
      <c r="L802" s="29"/>
      <c r="M802" s="29"/>
      <c r="N802" s="29"/>
      <c r="O802" s="29"/>
      <c r="P802" s="29"/>
      <c r="Q802" s="29"/>
      <c r="R802" s="29"/>
      <c r="S802" s="29"/>
      <c r="T802" s="29"/>
      <c r="U802" s="29"/>
      <c r="V802" s="29"/>
      <c r="W802" s="29"/>
      <c r="X802" s="29"/>
      <c r="Y802" s="29"/>
      <c r="Z802" s="29"/>
    </row>
    <row r="803" ht="18.75" customHeight="1">
      <c r="A803" s="37"/>
      <c r="B803" s="38"/>
      <c r="C803" s="29"/>
      <c r="D803" s="39"/>
      <c r="E803" s="29"/>
      <c r="F803" s="40"/>
      <c r="G803" s="40"/>
      <c r="H803" s="40"/>
      <c r="I803" s="29"/>
      <c r="J803" s="29"/>
      <c r="K803" s="29"/>
      <c r="L803" s="29"/>
      <c r="M803" s="29"/>
      <c r="N803" s="29"/>
      <c r="O803" s="29"/>
      <c r="P803" s="29"/>
      <c r="Q803" s="29"/>
      <c r="R803" s="29"/>
      <c r="S803" s="29"/>
      <c r="T803" s="29"/>
      <c r="U803" s="29"/>
      <c r="V803" s="29"/>
      <c r="W803" s="29"/>
      <c r="X803" s="29"/>
      <c r="Y803" s="29"/>
      <c r="Z803" s="29"/>
    </row>
    <row r="804" ht="18.75" customHeight="1">
      <c r="A804" s="37"/>
      <c r="B804" s="38"/>
      <c r="C804" s="29"/>
      <c r="D804" s="39"/>
      <c r="E804" s="29"/>
      <c r="F804" s="40"/>
      <c r="G804" s="40"/>
      <c r="H804" s="40"/>
      <c r="I804" s="29"/>
      <c r="J804" s="29"/>
      <c r="K804" s="29"/>
      <c r="L804" s="29"/>
      <c r="M804" s="29"/>
      <c r="N804" s="29"/>
      <c r="O804" s="29"/>
      <c r="P804" s="29"/>
      <c r="Q804" s="29"/>
      <c r="R804" s="29"/>
      <c r="S804" s="29"/>
      <c r="T804" s="29"/>
      <c r="U804" s="29"/>
      <c r="V804" s="29"/>
      <c r="W804" s="29"/>
      <c r="X804" s="29"/>
      <c r="Y804" s="29"/>
      <c r="Z804" s="29"/>
    </row>
    <row r="805" ht="18.75" customHeight="1">
      <c r="A805" s="37"/>
      <c r="B805" s="38"/>
      <c r="C805" s="29"/>
      <c r="D805" s="39"/>
      <c r="E805" s="29"/>
      <c r="F805" s="40"/>
      <c r="G805" s="40"/>
      <c r="H805" s="40"/>
      <c r="I805" s="29"/>
      <c r="J805" s="29"/>
      <c r="K805" s="29"/>
      <c r="L805" s="29"/>
      <c r="M805" s="29"/>
      <c r="N805" s="29"/>
      <c r="O805" s="29"/>
      <c r="P805" s="29"/>
      <c r="Q805" s="29"/>
      <c r="R805" s="29"/>
      <c r="S805" s="29"/>
      <c r="T805" s="29"/>
      <c r="U805" s="29"/>
      <c r="V805" s="29"/>
      <c r="W805" s="29"/>
      <c r="X805" s="29"/>
      <c r="Y805" s="29"/>
      <c r="Z805" s="29"/>
    </row>
    <row r="806" ht="18.75" customHeight="1">
      <c r="A806" s="37"/>
      <c r="B806" s="38"/>
      <c r="C806" s="29"/>
      <c r="D806" s="39"/>
      <c r="E806" s="29"/>
      <c r="F806" s="40"/>
      <c r="G806" s="40"/>
      <c r="H806" s="40"/>
      <c r="I806" s="29"/>
      <c r="J806" s="29"/>
      <c r="K806" s="29"/>
      <c r="L806" s="29"/>
      <c r="M806" s="29"/>
      <c r="N806" s="29"/>
      <c r="O806" s="29"/>
      <c r="P806" s="29"/>
      <c r="Q806" s="29"/>
      <c r="R806" s="29"/>
      <c r="S806" s="29"/>
      <c r="T806" s="29"/>
      <c r="U806" s="29"/>
      <c r="V806" s="29"/>
      <c r="W806" s="29"/>
      <c r="X806" s="29"/>
      <c r="Y806" s="29"/>
      <c r="Z806" s="29"/>
    </row>
    <row r="807" ht="18.75" customHeight="1">
      <c r="A807" s="37"/>
      <c r="B807" s="38"/>
      <c r="C807" s="29"/>
      <c r="D807" s="39"/>
      <c r="E807" s="29"/>
      <c r="F807" s="40"/>
      <c r="G807" s="40"/>
      <c r="H807" s="40"/>
      <c r="I807" s="29"/>
      <c r="J807" s="29"/>
      <c r="K807" s="29"/>
      <c r="L807" s="29"/>
      <c r="M807" s="29"/>
      <c r="N807" s="29"/>
      <c r="O807" s="29"/>
      <c r="P807" s="29"/>
      <c r="Q807" s="29"/>
      <c r="R807" s="29"/>
      <c r="S807" s="29"/>
      <c r="T807" s="29"/>
      <c r="U807" s="29"/>
      <c r="V807" s="29"/>
      <c r="W807" s="29"/>
      <c r="X807" s="29"/>
      <c r="Y807" s="29"/>
      <c r="Z807" s="29"/>
    </row>
    <row r="808" ht="18.75" customHeight="1">
      <c r="A808" s="37"/>
      <c r="B808" s="38"/>
      <c r="C808" s="29"/>
      <c r="D808" s="39"/>
      <c r="E808" s="29"/>
      <c r="F808" s="40"/>
      <c r="G808" s="40"/>
      <c r="H808" s="40"/>
      <c r="I808" s="29"/>
      <c r="J808" s="29"/>
      <c r="K808" s="29"/>
      <c r="L808" s="29"/>
      <c r="M808" s="29"/>
      <c r="N808" s="29"/>
      <c r="O808" s="29"/>
      <c r="P808" s="29"/>
      <c r="Q808" s="29"/>
      <c r="R808" s="29"/>
      <c r="S808" s="29"/>
      <c r="T808" s="29"/>
      <c r="U808" s="29"/>
      <c r="V808" s="29"/>
      <c r="W808" s="29"/>
      <c r="X808" s="29"/>
      <c r="Y808" s="29"/>
      <c r="Z808" s="29"/>
    </row>
    <row r="809" ht="18.75" customHeight="1">
      <c r="A809" s="37"/>
      <c r="B809" s="38"/>
      <c r="C809" s="29"/>
      <c r="D809" s="39"/>
      <c r="E809" s="29"/>
      <c r="F809" s="40"/>
      <c r="G809" s="40"/>
      <c r="H809" s="40"/>
      <c r="I809" s="29"/>
      <c r="J809" s="29"/>
      <c r="K809" s="29"/>
      <c r="L809" s="29"/>
      <c r="M809" s="29"/>
      <c r="N809" s="29"/>
      <c r="O809" s="29"/>
      <c r="P809" s="29"/>
      <c r="Q809" s="29"/>
      <c r="R809" s="29"/>
      <c r="S809" s="29"/>
      <c r="T809" s="29"/>
      <c r="U809" s="29"/>
      <c r="V809" s="29"/>
      <c r="W809" s="29"/>
      <c r="X809" s="29"/>
      <c r="Y809" s="29"/>
      <c r="Z809" s="29"/>
    </row>
    <row r="810" ht="18.75" customHeight="1">
      <c r="A810" s="37"/>
      <c r="B810" s="38"/>
      <c r="C810" s="29"/>
      <c r="D810" s="39"/>
      <c r="E810" s="29"/>
      <c r="F810" s="40"/>
      <c r="G810" s="40"/>
      <c r="H810" s="40"/>
      <c r="I810" s="29"/>
      <c r="J810" s="29"/>
      <c r="K810" s="29"/>
      <c r="L810" s="29"/>
      <c r="M810" s="29"/>
      <c r="N810" s="29"/>
      <c r="O810" s="29"/>
      <c r="P810" s="29"/>
      <c r="Q810" s="29"/>
      <c r="R810" s="29"/>
      <c r="S810" s="29"/>
      <c r="T810" s="29"/>
      <c r="U810" s="29"/>
      <c r="V810" s="29"/>
      <c r="W810" s="29"/>
      <c r="X810" s="29"/>
      <c r="Y810" s="29"/>
      <c r="Z810" s="29"/>
    </row>
    <row r="811" ht="18.75" customHeight="1">
      <c r="A811" s="37"/>
      <c r="B811" s="38"/>
      <c r="C811" s="29"/>
      <c r="D811" s="39"/>
      <c r="E811" s="29"/>
      <c r="F811" s="40"/>
      <c r="G811" s="40"/>
      <c r="H811" s="40"/>
      <c r="I811" s="29"/>
      <c r="J811" s="29"/>
      <c r="K811" s="29"/>
      <c r="L811" s="29"/>
      <c r="M811" s="29"/>
      <c r="N811" s="29"/>
      <c r="O811" s="29"/>
      <c r="P811" s="29"/>
      <c r="Q811" s="29"/>
      <c r="R811" s="29"/>
      <c r="S811" s="29"/>
      <c r="T811" s="29"/>
      <c r="U811" s="29"/>
      <c r="V811" s="29"/>
      <c r="W811" s="29"/>
      <c r="X811" s="29"/>
      <c r="Y811" s="29"/>
      <c r="Z811" s="29"/>
    </row>
    <row r="812" ht="18.75" customHeight="1">
      <c r="A812" s="37"/>
      <c r="B812" s="38"/>
      <c r="C812" s="29"/>
      <c r="D812" s="39"/>
      <c r="E812" s="29"/>
      <c r="F812" s="40"/>
      <c r="G812" s="40"/>
      <c r="H812" s="40"/>
      <c r="I812" s="29"/>
      <c r="J812" s="29"/>
      <c r="K812" s="29"/>
      <c r="L812" s="29"/>
      <c r="M812" s="29"/>
      <c r="N812" s="29"/>
      <c r="O812" s="29"/>
      <c r="P812" s="29"/>
      <c r="Q812" s="29"/>
      <c r="R812" s="29"/>
      <c r="S812" s="29"/>
      <c r="T812" s="29"/>
      <c r="U812" s="29"/>
      <c r="V812" s="29"/>
      <c r="W812" s="29"/>
      <c r="X812" s="29"/>
      <c r="Y812" s="29"/>
      <c r="Z812" s="29"/>
    </row>
    <row r="813" ht="18.75" customHeight="1">
      <c r="A813" s="37"/>
      <c r="B813" s="38"/>
      <c r="C813" s="29"/>
      <c r="D813" s="39"/>
      <c r="E813" s="29"/>
      <c r="F813" s="40"/>
      <c r="G813" s="40"/>
      <c r="H813" s="40"/>
      <c r="I813" s="29"/>
      <c r="J813" s="29"/>
      <c r="K813" s="29"/>
      <c r="L813" s="29"/>
      <c r="M813" s="29"/>
      <c r="N813" s="29"/>
      <c r="O813" s="29"/>
      <c r="P813" s="29"/>
      <c r="Q813" s="29"/>
      <c r="R813" s="29"/>
      <c r="S813" s="29"/>
      <c r="T813" s="29"/>
      <c r="U813" s="29"/>
      <c r="V813" s="29"/>
      <c r="W813" s="29"/>
      <c r="X813" s="29"/>
      <c r="Y813" s="29"/>
      <c r="Z813" s="29"/>
    </row>
    <row r="814" ht="18.75" customHeight="1">
      <c r="A814" s="37"/>
      <c r="B814" s="38"/>
      <c r="C814" s="29"/>
      <c r="D814" s="39"/>
      <c r="E814" s="29"/>
      <c r="F814" s="40"/>
      <c r="G814" s="40"/>
      <c r="H814" s="40"/>
      <c r="I814" s="29"/>
      <c r="J814" s="29"/>
      <c r="K814" s="29"/>
      <c r="L814" s="29"/>
      <c r="M814" s="29"/>
      <c r="N814" s="29"/>
      <c r="O814" s="29"/>
      <c r="P814" s="29"/>
      <c r="Q814" s="29"/>
      <c r="R814" s="29"/>
      <c r="S814" s="29"/>
      <c r="T814" s="29"/>
      <c r="U814" s="29"/>
      <c r="V814" s="29"/>
      <c r="W814" s="29"/>
      <c r="X814" s="29"/>
      <c r="Y814" s="29"/>
      <c r="Z814" s="29"/>
    </row>
    <row r="815" ht="18.75" customHeight="1">
      <c r="A815" s="37"/>
      <c r="B815" s="38"/>
      <c r="C815" s="29"/>
      <c r="D815" s="39"/>
      <c r="E815" s="29"/>
      <c r="F815" s="40"/>
      <c r="G815" s="40"/>
      <c r="H815" s="40"/>
      <c r="I815" s="29"/>
      <c r="J815" s="29"/>
      <c r="K815" s="29"/>
      <c r="L815" s="29"/>
      <c r="M815" s="29"/>
      <c r="N815" s="29"/>
      <c r="O815" s="29"/>
      <c r="P815" s="29"/>
      <c r="Q815" s="29"/>
      <c r="R815" s="29"/>
      <c r="S815" s="29"/>
      <c r="T815" s="29"/>
      <c r="U815" s="29"/>
      <c r="V815" s="29"/>
      <c r="W815" s="29"/>
      <c r="X815" s="29"/>
      <c r="Y815" s="29"/>
      <c r="Z815" s="29"/>
    </row>
    <row r="816" ht="18.75" customHeight="1">
      <c r="A816" s="37"/>
      <c r="B816" s="38"/>
      <c r="C816" s="29"/>
      <c r="D816" s="39"/>
      <c r="E816" s="29"/>
      <c r="F816" s="40"/>
      <c r="G816" s="40"/>
      <c r="H816" s="40"/>
      <c r="I816" s="29"/>
      <c r="J816" s="29"/>
      <c r="K816" s="29"/>
      <c r="L816" s="29"/>
      <c r="M816" s="29"/>
      <c r="N816" s="29"/>
      <c r="O816" s="29"/>
      <c r="P816" s="29"/>
      <c r="Q816" s="29"/>
      <c r="R816" s="29"/>
      <c r="S816" s="29"/>
      <c r="T816" s="29"/>
      <c r="U816" s="29"/>
      <c r="V816" s="29"/>
      <c r="W816" s="29"/>
      <c r="X816" s="29"/>
      <c r="Y816" s="29"/>
      <c r="Z816" s="29"/>
    </row>
    <row r="817" ht="18.75" customHeight="1">
      <c r="A817" s="37"/>
      <c r="B817" s="38"/>
      <c r="C817" s="29"/>
      <c r="D817" s="39"/>
      <c r="E817" s="29"/>
      <c r="F817" s="40"/>
      <c r="G817" s="40"/>
      <c r="H817" s="40"/>
      <c r="I817" s="29"/>
      <c r="J817" s="29"/>
      <c r="K817" s="29"/>
      <c r="L817" s="29"/>
      <c r="M817" s="29"/>
      <c r="N817" s="29"/>
      <c r="O817" s="29"/>
      <c r="P817" s="29"/>
      <c r="Q817" s="29"/>
      <c r="R817" s="29"/>
      <c r="S817" s="29"/>
      <c r="T817" s="29"/>
      <c r="U817" s="29"/>
      <c r="V817" s="29"/>
      <c r="W817" s="29"/>
      <c r="X817" s="29"/>
      <c r="Y817" s="29"/>
      <c r="Z817" s="29"/>
    </row>
    <row r="818" ht="18.75" customHeight="1">
      <c r="A818" s="37"/>
      <c r="B818" s="38"/>
      <c r="C818" s="29"/>
      <c r="D818" s="39"/>
      <c r="E818" s="29"/>
      <c r="F818" s="40"/>
      <c r="G818" s="40"/>
      <c r="H818" s="40"/>
      <c r="I818" s="29"/>
      <c r="J818" s="29"/>
      <c r="K818" s="29"/>
      <c r="L818" s="29"/>
      <c r="M818" s="29"/>
      <c r="N818" s="29"/>
      <c r="O818" s="29"/>
      <c r="P818" s="29"/>
      <c r="Q818" s="29"/>
      <c r="R818" s="29"/>
      <c r="S818" s="29"/>
      <c r="T818" s="29"/>
      <c r="U818" s="29"/>
      <c r="V818" s="29"/>
      <c r="W818" s="29"/>
      <c r="X818" s="29"/>
      <c r="Y818" s="29"/>
      <c r="Z818" s="29"/>
    </row>
    <row r="819" ht="18.75" customHeight="1">
      <c r="A819" s="37"/>
      <c r="B819" s="38"/>
      <c r="C819" s="29"/>
      <c r="D819" s="39"/>
      <c r="E819" s="29"/>
      <c r="F819" s="40"/>
      <c r="G819" s="40"/>
      <c r="H819" s="40"/>
      <c r="I819" s="29"/>
      <c r="J819" s="29"/>
      <c r="K819" s="29"/>
      <c r="L819" s="29"/>
      <c r="M819" s="29"/>
      <c r="N819" s="29"/>
      <c r="O819" s="29"/>
      <c r="P819" s="29"/>
      <c r="Q819" s="29"/>
      <c r="R819" s="29"/>
      <c r="S819" s="29"/>
      <c r="T819" s="29"/>
      <c r="U819" s="29"/>
      <c r="V819" s="29"/>
      <c r="W819" s="29"/>
      <c r="X819" s="29"/>
      <c r="Y819" s="29"/>
      <c r="Z819" s="29"/>
    </row>
    <row r="820" ht="18.75" customHeight="1">
      <c r="A820" s="37"/>
      <c r="B820" s="38"/>
      <c r="C820" s="29"/>
      <c r="D820" s="39"/>
      <c r="E820" s="29"/>
      <c r="F820" s="40"/>
      <c r="G820" s="40"/>
      <c r="H820" s="40"/>
      <c r="I820" s="29"/>
      <c r="J820" s="29"/>
      <c r="K820" s="29"/>
      <c r="L820" s="29"/>
      <c r="M820" s="29"/>
      <c r="N820" s="29"/>
      <c r="O820" s="29"/>
      <c r="P820" s="29"/>
      <c r="Q820" s="29"/>
      <c r="R820" s="29"/>
      <c r="S820" s="29"/>
      <c r="T820" s="29"/>
      <c r="U820" s="29"/>
      <c r="V820" s="29"/>
      <c r="W820" s="29"/>
      <c r="X820" s="29"/>
      <c r="Y820" s="29"/>
      <c r="Z820" s="29"/>
    </row>
    <row r="821" ht="18.75" customHeight="1">
      <c r="A821" s="37"/>
      <c r="B821" s="38"/>
      <c r="C821" s="29"/>
      <c r="D821" s="39"/>
      <c r="E821" s="29"/>
      <c r="F821" s="40"/>
      <c r="G821" s="40"/>
      <c r="H821" s="40"/>
      <c r="I821" s="29"/>
      <c r="J821" s="29"/>
      <c r="K821" s="29"/>
      <c r="L821" s="29"/>
      <c r="M821" s="29"/>
      <c r="N821" s="29"/>
      <c r="O821" s="29"/>
      <c r="P821" s="29"/>
      <c r="Q821" s="29"/>
      <c r="R821" s="29"/>
      <c r="S821" s="29"/>
      <c r="T821" s="29"/>
      <c r="U821" s="29"/>
      <c r="V821" s="29"/>
      <c r="W821" s="29"/>
      <c r="X821" s="29"/>
      <c r="Y821" s="29"/>
      <c r="Z821" s="29"/>
    </row>
    <row r="822" ht="18.75" customHeight="1">
      <c r="A822" s="37"/>
      <c r="B822" s="38"/>
      <c r="C822" s="29"/>
      <c r="D822" s="39"/>
      <c r="E822" s="29"/>
      <c r="F822" s="40"/>
      <c r="G822" s="40"/>
      <c r="H822" s="40"/>
      <c r="I822" s="29"/>
      <c r="J822" s="29"/>
      <c r="K822" s="29"/>
      <c r="L822" s="29"/>
      <c r="M822" s="29"/>
      <c r="N822" s="29"/>
      <c r="O822" s="29"/>
      <c r="P822" s="29"/>
      <c r="Q822" s="29"/>
      <c r="R822" s="29"/>
      <c r="S822" s="29"/>
      <c r="T822" s="29"/>
      <c r="U822" s="29"/>
      <c r="V822" s="29"/>
      <c r="W822" s="29"/>
      <c r="X822" s="29"/>
      <c r="Y822" s="29"/>
      <c r="Z822" s="29"/>
    </row>
    <row r="823" ht="18.75" customHeight="1">
      <c r="A823" s="37"/>
      <c r="B823" s="38"/>
      <c r="C823" s="29"/>
      <c r="D823" s="39"/>
      <c r="E823" s="29"/>
      <c r="F823" s="40"/>
      <c r="G823" s="40"/>
      <c r="H823" s="40"/>
      <c r="I823" s="29"/>
      <c r="J823" s="29"/>
      <c r="K823" s="29"/>
      <c r="L823" s="29"/>
      <c r="M823" s="29"/>
      <c r="N823" s="29"/>
      <c r="O823" s="29"/>
      <c r="P823" s="29"/>
      <c r="Q823" s="29"/>
      <c r="R823" s="29"/>
      <c r="S823" s="29"/>
      <c r="T823" s="29"/>
      <c r="U823" s="29"/>
      <c r="V823" s="29"/>
      <c r="W823" s="29"/>
      <c r="X823" s="29"/>
      <c r="Y823" s="29"/>
      <c r="Z823" s="29"/>
    </row>
    <row r="824" ht="18.75" customHeight="1">
      <c r="A824" s="37"/>
      <c r="B824" s="38"/>
      <c r="C824" s="29"/>
      <c r="D824" s="39"/>
      <c r="E824" s="29"/>
      <c r="F824" s="40"/>
      <c r="G824" s="40"/>
      <c r="H824" s="40"/>
      <c r="I824" s="29"/>
      <c r="J824" s="29"/>
      <c r="K824" s="29"/>
      <c r="L824" s="29"/>
      <c r="M824" s="29"/>
      <c r="N824" s="29"/>
      <c r="O824" s="29"/>
      <c r="P824" s="29"/>
      <c r="Q824" s="29"/>
      <c r="R824" s="29"/>
      <c r="S824" s="29"/>
      <c r="T824" s="29"/>
      <c r="U824" s="29"/>
      <c r="V824" s="29"/>
      <c r="W824" s="29"/>
      <c r="X824" s="29"/>
      <c r="Y824" s="29"/>
      <c r="Z824" s="29"/>
    </row>
    <row r="825" ht="18.75" customHeight="1">
      <c r="A825" s="37"/>
      <c r="B825" s="38"/>
      <c r="C825" s="29"/>
      <c r="D825" s="39"/>
      <c r="E825" s="29"/>
      <c r="F825" s="40"/>
      <c r="G825" s="40"/>
      <c r="H825" s="40"/>
      <c r="I825" s="29"/>
      <c r="J825" s="29"/>
      <c r="K825" s="29"/>
      <c r="L825" s="29"/>
      <c r="M825" s="29"/>
      <c r="N825" s="29"/>
      <c r="O825" s="29"/>
      <c r="P825" s="29"/>
      <c r="Q825" s="29"/>
      <c r="R825" s="29"/>
      <c r="S825" s="29"/>
      <c r="T825" s="29"/>
      <c r="U825" s="29"/>
      <c r="V825" s="29"/>
      <c r="W825" s="29"/>
      <c r="X825" s="29"/>
      <c r="Y825" s="29"/>
      <c r="Z825" s="29"/>
    </row>
    <row r="826" ht="18.75" customHeight="1">
      <c r="A826" s="37"/>
      <c r="B826" s="38"/>
      <c r="C826" s="29"/>
      <c r="D826" s="39"/>
      <c r="E826" s="29"/>
      <c r="F826" s="40"/>
      <c r="G826" s="40"/>
      <c r="H826" s="40"/>
      <c r="I826" s="29"/>
      <c r="J826" s="29"/>
      <c r="K826" s="29"/>
      <c r="L826" s="29"/>
      <c r="M826" s="29"/>
      <c r="N826" s="29"/>
      <c r="O826" s="29"/>
      <c r="P826" s="29"/>
      <c r="Q826" s="29"/>
      <c r="R826" s="29"/>
      <c r="S826" s="29"/>
      <c r="T826" s="29"/>
      <c r="U826" s="29"/>
      <c r="V826" s="29"/>
      <c r="W826" s="29"/>
      <c r="X826" s="29"/>
      <c r="Y826" s="29"/>
      <c r="Z826" s="29"/>
    </row>
    <row r="827" ht="18.75" customHeight="1">
      <c r="A827" s="37"/>
      <c r="B827" s="38"/>
      <c r="C827" s="29"/>
      <c r="D827" s="39"/>
      <c r="E827" s="29"/>
      <c r="F827" s="40"/>
      <c r="G827" s="40"/>
      <c r="H827" s="40"/>
      <c r="I827" s="29"/>
      <c r="J827" s="29"/>
      <c r="K827" s="29"/>
      <c r="L827" s="29"/>
      <c r="M827" s="29"/>
      <c r="N827" s="29"/>
      <c r="O827" s="29"/>
      <c r="P827" s="29"/>
      <c r="Q827" s="29"/>
      <c r="R827" s="29"/>
      <c r="S827" s="29"/>
      <c r="T827" s="29"/>
      <c r="U827" s="29"/>
      <c r="V827" s="29"/>
      <c r="W827" s="29"/>
      <c r="X827" s="29"/>
      <c r="Y827" s="29"/>
      <c r="Z827" s="29"/>
    </row>
    <row r="828" ht="18.75" customHeight="1">
      <c r="A828" s="37"/>
      <c r="B828" s="38"/>
      <c r="C828" s="29"/>
      <c r="D828" s="39"/>
      <c r="E828" s="29"/>
      <c r="F828" s="40"/>
      <c r="G828" s="40"/>
      <c r="H828" s="40"/>
      <c r="I828" s="29"/>
      <c r="J828" s="29"/>
      <c r="K828" s="29"/>
      <c r="L828" s="29"/>
      <c r="M828" s="29"/>
      <c r="N828" s="29"/>
      <c r="O828" s="29"/>
      <c r="P828" s="29"/>
      <c r="Q828" s="29"/>
      <c r="R828" s="29"/>
      <c r="S828" s="29"/>
      <c r="T828" s="29"/>
      <c r="U828" s="29"/>
      <c r="V828" s="29"/>
      <c r="W828" s="29"/>
      <c r="X828" s="29"/>
      <c r="Y828" s="29"/>
      <c r="Z828" s="29"/>
    </row>
    <row r="829" ht="18.75" customHeight="1">
      <c r="A829" s="37"/>
      <c r="B829" s="38"/>
      <c r="C829" s="29"/>
      <c r="D829" s="39"/>
      <c r="E829" s="29"/>
      <c r="F829" s="40"/>
      <c r="G829" s="40"/>
      <c r="H829" s="40"/>
      <c r="I829" s="29"/>
      <c r="J829" s="29"/>
      <c r="K829" s="29"/>
      <c r="L829" s="29"/>
      <c r="M829" s="29"/>
      <c r="N829" s="29"/>
      <c r="O829" s="29"/>
      <c r="P829" s="29"/>
      <c r="Q829" s="29"/>
      <c r="R829" s="29"/>
      <c r="S829" s="29"/>
      <c r="T829" s="29"/>
      <c r="U829" s="29"/>
      <c r="V829" s="29"/>
      <c r="W829" s="29"/>
      <c r="X829" s="29"/>
      <c r="Y829" s="29"/>
      <c r="Z829" s="29"/>
    </row>
    <row r="830" ht="18.75" customHeight="1">
      <c r="A830" s="37"/>
      <c r="B830" s="38"/>
      <c r="C830" s="29"/>
      <c r="D830" s="39"/>
      <c r="E830" s="29"/>
      <c r="F830" s="40"/>
      <c r="G830" s="40"/>
      <c r="H830" s="40"/>
      <c r="I830" s="29"/>
      <c r="J830" s="29"/>
      <c r="K830" s="29"/>
      <c r="L830" s="29"/>
      <c r="M830" s="29"/>
      <c r="N830" s="29"/>
      <c r="O830" s="29"/>
      <c r="P830" s="29"/>
      <c r="Q830" s="29"/>
      <c r="R830" s="29"/>
      <c r="S830" s="29"/>
      <c r="T830" s="29"/>
      <c r="U830" s="29"/>
      <c r="V830" s="29"/>
      <c r="W830" s="29"/>
      <c r="X830" s="29"/>
      <c r="Y830" s="29"/>
      <c r="Z830" s="29"/>
    </row>
    <row r="831" ht="18.75" customHeight="1">
      <c r="A831" s="37"/>
      <c r="B831" s="38"/>
      <c r="C831" s="29"/>
      <c r="D831" s="39"/>
      <c r="E831" s="29"/>
      <c r="F831" s="40"/>
      <c r="G831" s="40"/>
      <c r="H831" s="40"/>
      <c r="I831" s="29"/>
      <c r="J831" s="29"/>
      <c r="K831" s="29"/>
      <c r="L831" s="29"/>
      <c r="M831" s="29"/>
      <c r="N831" s="29"/>
      <c r="O831" s="29"/>
      <c r="P831" s="29"/>
      <c r="Q831" s="29"/>
      <c r="R831" s="29"/>
      <c r="S831" s="29"/>
      <c r="T831" s="29"/>
      <c r="U831" s="29"/>
      <c r="V831" s="29"/>
      <c r="W831" s="29"/>
      <c r="X831" s="29"/>
      <c r="Y831" s="29"/>
      <c r="Z831" s="29"/>
    </row>
    <row r="832" ht="18.75" customHeight="1">
      <c r="A832" s="37"/>
      <c r="B832" s="38"/>
      <c r="C832" s="29"/>
      <c r="D832" s="39"/>
      <c r="E832" s="29"/>
      <c r="F832" s="40"/>
      <c r="G832" s="40"/>
      <c r="H832" s="40"/>
      <c r="I832" s="29"/>
      <c r="J832" s="29"/>
      <c r="K832" s="29"/>
      <c r="L832" s="29"/>
      <c r="M832" s="29"/>
      <c r="N832" s="29"/>
      <c r="O832" s="29"/>
      <c r="P832" s="29"/>
      <c r="Q832" s="29"/>
      <c r="R832" s="29"/>
      <c r="S832" s="29"/>
      <c r="T832" s="29"/>
      <c r="U832" s="29"/>
      <c r="V832" s="29"/>
      <c r="W832" s="29"/>
      <c r="X832" s="29"/>
      <c r="Y832" s="29"/>
      <c r="Z832" s="29"/>
    </row>
    <row r="833" ht="18.75" customHeight="1">
      <c r="A833" s="37"/>
      <c r="B833" s="38"/>
      <c r="C833" s="29"/>
      <c r="D833" s="39"/>
      <c r="E833" s="29"/>
      <c r="F833" s="40"/>
      <c r="G833" s="40"/>
      <c r="H833" s="40"/>
      <c r="I833" s="29"/>
      <c r="J833" s="29"/>
      <c r="K833" s="29"/>
      <c r="L833" s="29"/>
      <c r="M833" s="29"/>
      <c r="N833" s="29"/>
      <c r="O833" s="29"/>
      <c r="P833" s="29"/>
      <c r="Q833" s="29"/>
      <c r="R833" s="29"/>
      <c r="S833" s="29"/>
      <c r="T833" s="29"/>
      <c r="U833" s="29"/>
      <c r="V833" s="29"/>
      <c r="W833" s="29"/>
      <c r="X833" s="29"/>
      <c r="Y833" s="29"/>
      <c r="Z833" s="29"/>
    </row>
    <row r="834" ht="18.75" customHeight="1">
      <c r="A834" s="37"/>
      <c r="B834" s="38"/>
      <c r="C834" s="29"/>
      <c r="D834" s="39"/>
      <c r="E834" s="29"/>
      <c r="F834" s="40"/>
      <c r="G834" s="40"/>
      <c r="H834" s="40"/>
      <c r="I834" s="29"/>
      <c r="J834" s="29"/>
      <c r="K834" s="29"/>
      <c r="L834" s="29"/>
      <c r="M834" s="29"/>
      <c r="N834" s="29"/>
      <c r="O834" s="29"/>
      <c r="P834" s="29"/>
      <c r="Q834" s="29"/>
      <c r="R834" s="29"/>
      <c r="S834" s="29"/>
      <c r="T834" s="29"/>
      <c r="U834" s="29"/>
      <c r="V834" s="29"/>
      <c r="W834" s="29"/>
      <c r="X834" s="29"/>
      <c r="Y834" s="29"/>
      <c r="Z834" s="29"/>
    </row>
    <row r="835" ht="18.75" customHeight="1">
      <c r="A835" s="37"/>
      <c r="B835" s="38"/>
      <c r="C835" s="29"/>
      <c r="D835" s="39"/>
      <c r="E835" s="29"/>
      <c r="F835" s="40"/>
      <c r="G835" s="40"/>
      <c r="H835" s="40"/>
      <c r="I835" s="29"/>
      <c r="J835" s="29"/>
      <c r="K835" s="29"/>
      <c r="L835" s="29"/>
      <c r="M835" s="29"/>
      <c r="N835" s="29"/>
      <c r="O835" s="29"/>
      <c r="P835" s="29"/>
      <c r="Q835" s="29"/>
      <c r="R835" s="29"/>
      <c r="S835" s="29"/>
      <c r="T835" s="29"/>
      <c r="U835" s="29"/>
      <c r="V835" s="29"/>
      <c r="W835" s="29"/>
      <c r="X835" s="29"/>
      <c r="Y835" s="29"/>
      <c r="Z835" s="29"/>
    </row>
    <row r="836" ht="18.75" customHeight="1">
      <c r="A836" s="37"/>
      <c r="B836" s="38"/>
      <c r="C836" s="29"/>
      <c r="D836" s="39"/>
      <c r="E836" s="29"/>
      <c r="F836" s="40"/>
      <c r="G836" s="40"/>
      <c r="H836" s="40"/>
      <c r="I836" s="29"/>
      <c r="J836" s="29"/>
      <c r="K836" s="29"/>
      <c r="L836" s="29"/>
      <c r="M836" s="29"/>
      <c r="N836" s="29"/>
      <c r="O836" s="29"/>
      <c r="P836" s="29"/>
      <c r="Q836" s="29"/>
      <c r="R836" s="29"/>
      <c r="S836" s="29"/>
      <c r="T836" s="29"/>
      <c r="U836" s="29"/>
      <c r="V836" s="29"/>
      <c r="W836" s="29"/>
      <c r="X836" s="29"/>
      <c r="Y836" s="29"/>
      <c r="Z836" s="29"/>
    </row>
    <row r="837" ht="18.75" customHeight="1">
      <c r="A837" s="37"/>
      <c r="B837" s="38"/>
      <c r="C837" s="29"/>
      <c r="D837" s="39"/>
      <c r="E837" s="29"/>
      <c r="F837" s="40"/>
      <c r="G837" s="40"/>
      <c r="H837" s="40"/>
      <c r="I837" s="29"/>
      <c r="J837" s="29"/>
      <c r="K837" s="29"/>
      <c r="L837" s="29"/>
      <c r="M837" s="29"/>
      <c r="N837" s="29"/>
      <c r="O837" s="29"/>
      <c r="P837" s="29"/>
      <c r="Q837" s="29"/>
      <c r="R837" s="29"/>
      <c r="S837" s="29"/>
      <c r="T837" s="29"/>
      <c r="U837" s="29"/>
      <c r="V837" s="29"/>
      <c r="W837" s="29"/>
      <c r="X837" s="29"/>
      <c r="Y837" s="29"/>
      <c r="Z837" s="29"/>
    </row>
    <row r="838" ht="18.75" customHeight="1">
      <c r="A838" s="37"/>
      <c r="B838" s="38"/>
      <c r="C838" s="29"/>
      <c r="D838" s="39"/>
      <c r="E838" s="29"/>
      <c r="F838" s="40"/>
      <c r="G838" s="40"/>
      <c r="H838" s="40"/>
      <c r="I838" s="29"/>
      <c r="J838" s="29"/>
      <c r="K838" s="29"/>
      <c r="L838" s="29"/>
      <c r="M838" s="29"/>
      <c r="N838" s="29"/>
      <c r="O838" s="29"/>
      <c r="P838" s="29"/>
      <c r="Q838" s="29"/>
      <c r="R838" s="29"/>
      <c r="S838" s="29"/>
      <c r="T838" s="29"/>
      <c r="U838" s="29"/>
      <c r="V838" s="29"/>
      <c r="W838" s="29"/>
      <c r="X838" s="29"/>
      <c r="Y838" s="29"/>
      <c r="Z838" s="29"/>
    </row>
    <row r="839" ht="18.75" customHeight="1">
      <c r="A839" s="37"/>
      <c r="B839" s="38"/>
      <c r="C839" s="29"/>
      <c r="D839" s="39"/>
      <c r="E839" s="29"/>
      <c r="F839" s="40"/>
      <c r="G839" s="40"/>
      <c r="H839" s="40"/>
      <c r="I839" s="29"/>
      <c r="J839" s="29"/>
      <c r="K839" s="29"/>
      <c r="L839" s="29"/>
      <c r="M839" s="29"/>
      <c r="N839" s="29"/>
      <c r="O839" s="29"/>
      <c r="P839" s="29"/>
      <c r="Q839" s="29"/>
      <c r="R839" s="29"/>
      <c r="S839" s="29"/>
      <c r="T839" s="29"/>
      <c r="U839" s="29"/>
      <c r="V839" s="29"/>
      <c r="W839" s="29"/>
      <c r="X839" s="29"/>
      <c r="Y839" s="29"/>
      <c r="Z839" s="29"/>
    </row>
    <row r="840" ht="18.75" customHeight="1">
      <c r="A840" s="37"/>
      <c r="B840" s="38"/>
      <c r="C840" s="29"/>
      <c r="D840" s="39"/>
      <c r="E840" s="29"/>
      <c r="F840" s="40"/>
      <c r="G840" s="40"/>
      <c r="H840" s="40"/>
      <c r="I840" s="29"/>
      <c r="J840" s="29"/>
      <c r="K840" s="29"/>
      <c r="L840" s="29"/>
      <c r="M840" s="29"/>
      <c r="N840" s="29"/>
      <c r="O840" s="29"/>
      <c r="P840" s="29"/>
      <c r="Q840" s="29"/>
      <c r="R840" s="29"/>
      <c r="S840" s="29"/>
      <c r="T840" s="29"/>
      <c r="U840" s="29"/>
      <c r="V840" s="29"/>
      <c r="W840" s="29"/>
      <c r="X840" s="29"/>
      <c r="Y840" s="29"/>
      <c r="Z840" s="29"/>
    </row>
    <row r="841" ht="18.75" customHeight="1">
      <c r="A841" s="37"/>
      <c r="B841" s="38"/>
      <c r="C841" s="29"/>
      <c r="D841" s="39"/>
      <c r="E841" s="29"/>
      <c r="F841" s="40"/>
      <c r="G841" s="40"/>
      <c r="H841" s="40"/>
      <c r="I841" s="29"/>
      <c r="J841" s="29"/>
      <c r="K841" s="29"/>
      <c r="L841" s="29"/>
      <c r="M841" s="29"/>
      <c r="N841" s="29"/>
      <c r="O841" s="29"/>
      <c r="P841" s="29"/>
      <c r="Q841" s="29"/>
      <c r="R841" s="29"/>
      <c r="S841" s="29"/>
      <c r="T841" s="29"/>
      <c r="U841" s="29"/>
      <c r="V841" s="29"/>
      <c r="W841" s="29"/>
      <c r="X841" s="29"/>
      <c r="Y841" s="29"/>
      <c r="Z841" s="29"/>
    </row>
    <row r="842" ht="18.75" customHeight="1">
      <c r="A842" s="37"/>
      <c r="B842" s="38"/>
      <c r="C842" s="29"/>
      <c r="D842" s="39"/>
      <c r="E842" s="29"/>
      <c r="F842" s="40"/>
      <c r="G842" s="40"/>
      <c r="H842" s="40"/>
      <c r="I842" s="29"/>
      <c r="J842" s="29"/>
      <c r="K842" s="29"/>
      <c r="L842" s="29"/>
      <c r="M842" s="29"/>
      <c r="N842" s="29"/>
      <c r="O842" s="29"/>
      <c r="P842" s="29"/>
      <c r="Q842" s="29"/>
      <c r="R842" s="29"/>
      <c r="S842" s="29"/>
      <c r="T842" s="29"/>
      <c r="U842" s="29"/>
      <c r="V842" s="29"/>
      <c r="W842" s="29"/>
      <c r="X842" s="29"/>
      <c r="Y842" s="29"/>
      <c r="Z842" s="29"/>
    </row>
    <row r="843" ht="18.75" customHeight="1">
      <c r="A843" s="37"/>
      <c r="B843" s="38"/>
      <c r="C843" s="29"/>
      <c r="D843" s="39"/>
      <c r="E843" s="29"/>
      <c r="F843" s="40"/>
      <c r="G843" s="40"/>
      <c r="H843" s="40"/>
      <c r="I843" s="29"/>
      <c r="J843" s="29"/>
      <c r="K843" s="29"/>
      <c r="L843" s="29"/>
      <c r="M843" s="29"/>
      <c r="N843" s="29"/>
      <c r="O843" s="29"/>
      <c r="P843" s="29"/>
      <c r="Q843" s="29"/>
      <c r="R843" s="29"/>
      <c r="S843" s="29"/>
      <c r="T843" s="29"/>
      <c r="U843" s="29"/>
      <c r="V843" s="29"/>
      <c r="W843" s="29"/>
      <c r="X843" s="29"/>
      <c r="Y843" s="29"/>
      <c r="Z843" s="29"/>
    </row>
    <row r="844" ht="18.75" customHeight="1">
      <c r="A844" s="37"/>
      <c r="B844" s="38"/>
      <c r="C844" s="29"/>
      <c r="D844" s="39"/>
      <c r="E844" s="29"/>
      <c r="F844" s="40"/>
      <c r="G844" s="40"/>
      <c r="H844" s="40"/>
      <c r="I844" s="29"/>
      <c r="J844" s="29"/>
      <c r="K844" s="29"/>
      <c r="L844" s="29"/>
      <c r="M844" s="29"/>
      <c r="N844" s="29"/>
      <c r="O844" s="29"/>
      <c r="P844" s="29"/>
      <c r="Q844" s="29"/>
      <c r="R844" s="29"/>
      <c r="S844" s="29"/>
      <c r="T844" s="29"/>
      <c r="U844" s="29"/>
      <c r="V844" s="29"/>
      <c r="W844" s="29"/>
      <c r="X844" s="29"/>
      <c r="Y844" s="29"/>
      <c r="Z844" s="29"/>
    </row>
    <row r="845" ht="18.75" customHeight="1">
      <c r="A845" s="37"/>
      <c r="B845" s="38"/>
      <c r="C845" s="29"/>
      <c r="D845" s="39"/>
      <c r="E845" s="29"/>
      <c r="F845" s="40"/>
      <c r="G845" s="40"/>
      <c r="H845" s="40"/>
      <c r="I845" s="29"/>
      <c r="J845" s="29"/>
      <c r="K845" s="29"/>
      <c r="L845" s="29"/>
      <c r="M845" s="29"/>
      <c r="N845" s="29"/>
      <c r="O845" s="29"/>
      <c r="P845" s="29"/>
      <c r="Q845" s="29"/>
      <c r="R845" s="29"/>
      <c r="S845" s="29"/>
      <c r="T845" s="29"/>
      <c r="U845" s="29"/>
      <c r="V845" s="29"/>
      <c r="W845" s="29"/>
      <c r="X845" s="29"/>
      <c r="Y845" s="29"/>
      <c r="Z845" s="29"/>
    </row>
    <row r="846" ht="18.75" customHeight="1">
      <c r="A846" s="37"/>
      <c r="B846" s="38"/>
      <c r="C846" s="29"/>
      <c r="D846" s="39"/>
      <c r="E846" s="29"/>
      <c r="F846" s="40"/>
      <c r="G846" s="40"/>
      <c r="H846" s="40"/>
      <c r="I846" s="29"/>
      <c r="J846" s="29"/>
      <c r="K846" s="29"/>
      <c r="L846" s="29"/>
      <c r="M846" s="29"/>
      <c r="N846" s="29"/>
      <c r="O846" s="29"/>
      <c r="P846" s="29"/>
      <c r="Q846" s="29"/>
      <c r="R846" s="29"/>
      <c r="S846" s="29"/>
      <c r="T846" s="29"/>
      <c r="U846" s="29"/>
      <c r="V846" s="29"/>
      <c r="W846" s="29"/>
      <c r="X846" s="29"/>
      <c r="Y846" s="29"/>
      <c r="Z846" s="29"/>
    </row>
    <row r="847" ht="18.75" customHeight="1">
      <c r="A847" s="37"/>
      <c r="B847" s="38"/>
      <c r="C847" s="29"/>
      <c r="D847" s="39"/>
      <c r="E847" s="29"/>
      <c r="F847" s="40"/>
      <c r="G847" s="40"/>
      <c r="H847" s="40"/>
      <c r="I847" s="29"/>
      <c r="J847" s="29"/>
      <c r="K847" s="29"/>
      <c r="L847" s="29"/>
      <c r="M847" s="29"/>
      <c r="N847" s="29"/>
      <c r="O847" s="29"/>
      <c r="P847" s="29"/>
      <c r="Q847" s="29"/>
      <c r="R847" s="29"/>
      <c r="S847" s="29"/>
      <c r="T847" s="29"/>
      <c r="U847" s="29"/>
      <c r="V847" s="29"/>
      <c r="W847" s="29"/>
      <c r="X847" s="29"/>
      <c r="Y847" s="29"/>
      <c r="Z847" s="29"/>
    </row>
    <row r="848" ht="18.75" customHeight="1">
      <c r="A848" s="37"/>
      <c r="B848" s="38"/>
      <c r="C848" s="29"/>
      <c r="D848" s="39"/>
      <c r="E848" s="29"/>
      <c r="F848" s="40"/>
      <c r="G848" s="40"/>
      <c r="H848" s="40"/>
      <c r="I848" s="29"/>
      <c r="J848" s="29"/>
      <c r="K848" s="29"/>
      <c r="L848" s="29"/>
      <c r="M848" s="29"/>
      <c r="N848" s="29"/>
      <c r="O848" s="29"/>
      <c r="P848" s="29"/>
      <c r="Q848" s="29"/>
      <c r="R848" s="29"/>
      <c r="S848" s="29"/>
      <c r="T848" s="29"/>
      <c r="U848" s="29"/>
      <c r="V848" s="29"/>
      <c r="W848" s="29"/>
      <c r="X848" s="29"/>
      <c r="Y848" s="29"/>
      <c r="Z848" s="29"/>
    </row>
    <row r="849" ht="18.75" customHeight="1">
      <c r="A849" s="37"/>
      <c r="B849" s="38"/>
      <c r="C849" s="29"/>
      <c r="D849" s="39"/>
      <c r="E849" s="29"/>
      <c r="F849" s="40"/>
      <c r="G849" s="40"/>
      <c r="H849" s="40"/>
      <c r="I849" s="29"/>
      <c r="J849" s="29"/>
      <c r="K849" s="29"/>
      <c r="L849" s="29"/>
      <c r="M849" s="29"/>
      <c r="N849" s="29"/>
      <c r="O849" s="29"/>
      <c r="P849" s="29"/>
      <c r="Q849" s="29"/>
      <c r="R849" s="29"/>
      <c r="S849" s="29"/>
      <c r="T849" s="29"/>
      <c r="U849" s="29"/>
      <c r="V849" s="29"/>
      <c r="W849" s="29"/>
      <c r="X849" s="29"/>
      <c r="Y849" s="29"/>
      <c r="Z849" s="29"/>
    </row>
    <row r="850" ht="18.75" customHeight="1">
      <c r="A850" s="37"/>
      <c r="B850" s="38"/>
      <c r="C850" s="29"/>
      <c r="D850" s="39"/>
      <c r="E850" s="29"/>
      <c r="F850" s="40"/>
      <c r="G850" s="40"/>
      <c r="H850" s="40"/>
      <c r="I850" s="29"/>
      <c r="J850" s="29"/>
      <c r="K850" s="29"/>
      <c r="L850" s="29"/>
      <c r="M850" s="29"/>
      <c r="N850" s="29"/>
      <c r="O850" s="29"/>
      <c r="P850" s="29"/>
      <c r="Q850" s="29"/>
      <c r="R850" s="29"/>
      <c r="S850" s="29"/>
      <c r="T850" s="29"/>
      <c r="U850" s="29"/>
      <c r="V850" s="29"/>
      <c r="W850" s="29"/>
      <c r="X850" s="29"/>
      <c r="Y850" s="29"/>
      <c r="Z850" s="29"/>
    </row>
    <row r="851" ht="18.75" customHeight="1">
      <c r="A851" s="37"/>
      <c r="B851" s="38"/>
      <c r="C851" s="29"/>
      <c r="D851" s="39"/>
      <c r="E851" s="29"/>
      <c r="F851" s="40"/>
      <c r="G851" s="40"/>
      <c r="H851" s="40"/>
      <c r="I851" s="29"/>
      <c r="J851" s="29"/>
      <c r="K851" s="29"/>
      <c r="L851" s="29"/>
      <c r="M851" s="29"/>
      <c r="N851" s="29"/>
      <c r="O851" s="29"/>
      <c r="P851" s="29"/>
      <c r="Q851" s="29"/>
      <c r="R851" s="29"/>
      <c r="S851" s="29"/>
      <c r="T851" s="29"/>
      <c r="U851" s="29"/>
      <c r="V851" s="29"/>
      <c r="W851" s="29"/>
      <c r="X851" s="29"/>
      <c r="Y851" s="29"/>
      <c r="Z851" s="29"/>
    </row>
    <row r="852" ht="18.75" customHeight="1">
      <c r="A852" s="37"/>
      <c r="B852" s="38"/>
      <c r="C852" s="29"/>
      <c r="D852" s="39"/>
      <c r="E852" s="29"/>
      <c r="F852" s="40"/>
      <c r="G852" s="40"/>
      <c r="H852" s="40"/>
      <c r="I852" s="29"/>
      <c r="J852" s="29"/>
      <c r="K852" s="29"/>
      <c r="L852" s="29"/>
      <c r="M852" s="29"/>
      <c r="N852" s="29"/>
      <c r="O852" s="29"/>
      <c r="P852" s="29"/>
      <c r="Q852" s="29"/>
      <c r="R852" s="29"/>
      <c r="S852" s="29"/>
      <c r="T852" s="29"/>
      <c r="U852" s="29"/>
      <c r="V852" s="29"/>
      <c r="W852" s="29"/>
      <c r="X852" s="29"/>
      <c r="Y852" s="29"/>
      <c r="Z852" s="29"/>
    </row>
    <row r="853" ht="18.75" customHeight="1">
      <c r="A853" s="37"/>
      <c r="B853" s="38"/>
      <c r="C853" s="29"/>
      <c r="D853" s="39"/>
      <c r="E853" s="29"/>
      <c r="F853" s="40"/>
      <c r="G853" s="40"/>
      <c r="H853" s="40"/>
      <c r="I853" s="29"/>
      <c r="J853" s="29"/>
      <c r="K853" s="29"/>
      <c r="L853" s="29"/>
      <c r="M853" s="29"/>
      <c r="N853" s="29"/>
      <c r="O853" s="29"/>
      <c r="P853" s="29"/>
      <c r="Q853" s="29"/>
      <c r="R853" s="29"/>
      <c r="S853" s="29"/>
      <c r="T853" s="29"/>
      <c r="U853" s="29"/>
      <c r="V853" s="29"/>
      <c r="W853" s="29"/>
      <c r="X853" s="29"/>
      <c r="Y853" s="29"/>
      <c r="Z853" s="29"/>
    </row>
    <row r="854" ht="18.75" customHeight="1">
      <c r="A854" s="37"/>
      <c r="B854" s="38"/>
      <c r="C854" s="29"/>
      <c r="D854" s="39"/>
      <c r="E854" s="29"/>
      <c r="F854" s="40"/>
      <c r="G854" s="40"/>
      <c r="H854" s="40"/>
      <c r="I854" s="29"/>
      <c r="J854" s="29"/>
      <c r="K854" s="29"/>
      <c r="L854" s="29"/>
      <c r="M854" s="29"/>
      <c r="N854" s="29"/>
      <c r="O854" s="29"/>
      <c r="P854" s="29"/>
      <c r="Q854" s="29"/>
      <c r="R854" s="29"/>
      <c r="S854" s="29"/>
      <c r="T854" s="29"/>
      <c r="U854" s="29"/>
      <c r="V854" s="29"/>
      <c r="W854" s="29"/>
      <c r="X854" s="29"/>
      <c r="Y854" s="29"/>
      <c r="Z854" s="29"/>
    </row>
    <row r="855" ht="18.75" customHeight="1">
      <c r="A855" s="37"/>
      <c r="B855" s="38"/>
      <c r="C855" s="29"/>
      <c r="D855" s="39"/>
      <c r="E855" s="29"/>
      <c r="F855" s="40"/>
      <c r="G855" s="40"/>
      <c r="H855" s="40"/>
      <c r="I855" s="29"/>
      <c r="J855" s="29"/>
      <c r="K855" s="29"/>
      <c r="L855" s="29"/>
      <c r="M855" s="29"/>
      <c r="N855" s="29"/>
      <c r="O855" s="29"/>
      <c r="P855" s="29"/>
      <c r="Q855" s="29"/>
      <c r="R855" s="29"/>
      <c r="S855" s="29"/>
      <c r="T855" s="29"/>
      <c r="U855" s="29"/>
      <c r="V855" s="29"/>
      <c r="W855" s="29"/>
      <c r="X855" s="29"/>
      <c r="Y855" s="29"/>
      <c r="Z855" s="29"/>
    </row>
    <row r="856" ht="18.75" customHeight="1">
      <c r="A856" s="37"/>
      <c r="B856" s="38"/>
      <c r="C856" s="29"/>
      <c r="D856" s="39"/>
      <c r="E856" s="29"/>
      <c r="F856" s="40"/>
      <c r="G856" s="40"/>
      <c r="H856" s="40"/>
      <c r="I856" s="29"/>
      <c r="J856" s="29"/>
      <c r="K856" s="29"/>
      <c r="L856" s="29"/>
      <c r="M856" s="29"/>
      <c r="N856" s="29"/>
      <c r="O856" s="29"/>
      <c r="P856" s="29"/>
      <c r="Q856" s="29"/>
      <c r="R856" s="29"/>
      <c r="S856" s="29"/>
      <c r="T856" s="29"/>
      <c r="U856" s="29"/>
      <c r="V856" s="29"/>
      <c r="W856" s="29"/>
      <c r="X856" s="29"/>
      <c r="Y856" s="29"/>
      <c r="Z856" s="29"/>
    </row>
    <row r="857" ht="18.75" customHeight="1">
      <c r="A857" s="37"/>
      <c r="B857" s="38"/>
      <c r="C857" s="29"/>
      <c r="D857" s="39"/>
      <c r="E857" s="29"/>
      <c r="F857" s="40"/>
      <c r="G857" s="40"/>
      <c r="H857" s="40"/>
      <c r="I857" s="29"/>
      <c r="J857" s="29"/>
      <c r="K857" s="29"/>
      <c r="L857" s="29"/>
      <c r="M857" s="29"/>
      <c r="N857" s="29"/>
      <c r="O857" s="29"/>
      <c r="P857" s="29"/>
      <c r="Q857" s="29"/>
      <c r="R857" s="29"/>
      <c r="S857" s="29"/>
      <c r="T857" s="29"/>
      <c r="U857" s="29"/>
      <c r="V857" s="29"/>
      <c r="W857" s="29"/>
      <c r="X857" s="29"/>
      <c r="Y857" s="29"/>
      <c r="Z857" s="29"/>
    </row>
    <row r="858" ht="18.75" customHeight="1">
      <c r="A858" s="37"/>
      <c r="B858" s="38"/>
      <c r="C858" s="29"/>
      <c r="D858" s="39"/>
      <c r="E858" s="29"/>
      <c r="F858" s="40"/>
      <c r="G858" s="40"/>
      <c r="H858" s="40"/>
      <c r="I858" s="29"/>
      <c r="J858" s="29"/>
      <c r="K858" s="29"/>
      <c r="L858" s="29"/>
      <c r="M858" s="29"/>
      <c r="N858" s="29"/>
      <c r="O858" s="29"/>
      <c r="P858" s="29"/>
      <c r="Q858" s="29"/>
      <c r="R858" s="29"/>
      <c r="S858" s="29"/>
      <c r="T858" s="29"/>
      <c r="U858" s="29"/>
      <c r="V858" s="29"/>
      <c r="W858" s="29"/>
      <c r="X858" s="29"/>
      <c r="Y858" s="29"/>
      <c r="Z858" s="29"/>
    </row>
    <row r="859" ht="18.75" customHeight="1">
      <c r="A859" s="37"/>
      <c r="B859" s="38"/>
      <c r="C859" s="29"/>
      <c r="D859" s="39"/>
      <c r="E859" s="29"/>
      <c r="F859" s="40"/>
      <c r="G859" s="40"/>
      <c r="H859" s="40"/>
      <c r="I859" s="29"/>
      <c r="J859" s="29"/>
      <c r="K859" s="29"/>
      <c r="L859" s="29"/>
      <c r="M859" s="29"/>
      <c r="N859" s="29"/>
      <c r="O859" s="29"/>
      <c r="P859" s="29"/>
      <c r="Q859" s="29"/>
      <c r="R859" s="29"/>
      <c r="S859" s="29"/>
      <c r="T859" s="29"/>
      <c r="U859" s="29"/>
      <c r="V859" s="29"/>
      <c r="W859" s="29"/>
      <c r="X859" s="29"/>
      <c r="Y859" s="29"/>
      <c r="Z859" s="29"/>
    </row>
    <row r="860" ht="18.75" customHeight="1">
      <c r="A860" s="37"/>
      <c r="B860" s="38"/>
      <c r="C860" s="29"/>
      <c r="D860" s="39"/>
      <c r="E860" s="29"/>
      <c r="F860" s="40"/>
      <c r="G860" s="40"/>
      <c r="H860" s="40"/>
      <c r="I860" s="29"/>
      <c r="J860" s="29"/>
      <c r="K860" s="29"/>
      <c r="L860" s="29"/>
      <c r="M860" s="29"/>
      <c r="N860" s="29"/>
      <c r="O860" s="29"/>
      <c r="P860" s="29"/>
      <c r="Q860" s="29"/>
      <c r="R860" s="29"/>
      <c r="S860" s="29"/>
      <c r="T860" s="29"/>
      <c r="U860" s="29"/>
      <c r="V860" s="29"/>
      <c r="W860" s="29"/>
      <c r="X860" s="29"/>
      <c r="Y860" s="29"/>
      <c r="Z860" s="29"/>
    </row>
    <row r="861" ht="18.75" customHeight="1">
      <c r="A861" s="37"/>
      <c r="B861" s="38"/>
      <c r="C861" s="29"/>
      <c r="D861" s="39"/>
      <c r="E861" s="29"/>
      <c r="F861" s="40"/>
      <c r="G861" s="40"/>
      <c r="H861" s="40"/>
      <c r="I861" s="29"/>
      <c r="J861" s="29"/>
      <c r="K861" s="29"/>
      <c r="L861" s="29"/>
      <c r="M861" s="29"/>
      <c r="N861" s="29"/>
      <c r="O861" s="29"/>
      <c r="P861" s="29"/>
      <c r="Q861" s="29"/>
      <c r="R861" s="29"/>
      <c r="S861" s="29"/>
      <c r="T861" s="29"/>
      <c r="U861" s="29"/>
      <c r="V861" s="29"/>
      <c r="W861" s="29"/>
      <c r="X861" s="29"/>
      <c r="Y861" s="29"/>
      <c r="Z861" s="29"/>
    </row>
    <row r="862" ht="18.75" customHeight="1">
      <c r="A862" s="37"/>
      <c r="B862" s="38"/>
      <c r="C862" s="29"/>
      <c r="D862" s="39"/>
      <c r="E862" s="29"/>
      <c r="F862" s="40"/>
      <c r="G862" s="40"/>
      <c r="H862" s="40"/>
      <c r="I862" s="29"/>
      <c r="J862" s="29"/>
      <c r="K862" s="29"/>
      <c r="L862" s="29"/>
      <c r="M862" s="29"/>
      <c r="N862" s="29"/>
      <c r="O862" s="29"/>
      <c r="P862" s="29"/>
      <c r="Q862" s="29"/>
      <c r="R862" s="29"/>
      <c r="S862" s="29"/>
      <c r="T862" s="29"/>
      <c r="U862" s="29"/>
      <c r="V862" s="29"/>
      <c r="W862" s="29"/>
      <c r="X862" s="29"/>
      <c r="Y862" s="29"/>
      <c r="Z862" s="29"/>
    </row>
    <row r="863" ht="18.75" customHeight="1">
      <c r="A863" s="37"/>
      <c r="B863" s="38"/>
      <c r="C863" s="29"/>
      <c r="D863" s="39"/>
      <c r="E863" s="29"/>
      <c r="F863" s="40"/>
      <c r="G863" s="40"/>
      <c r="H863" s="40"/>
      <c r="I863" s="29"/>
      <c r="J863" s="29"/>
      <c r="K863" s="29"/>
      <c r="L863" s="29"/>
      <c r="M863" s="29"/>
      <c r="N863" s="29"/>
      <c r="O863" s="29"/>
      <c r="P863" s="29"/>
      <c r="Q863" s="29"/>
      <c r="R863" s="29"/>
      <c r="S863" s="29"/>
      <c r="T863" s="29"/>
      <c r="U863" s="29"/>
      <c r="V863" s="29"/>
      <c r="W863" s="29"/>
      <c r="X863" s="29"/>
      <c r="Y863" s="29"/>
      <c r="Z863" s="29"/>
    </row>
    <row r="864" ht="18.75" customHeight="1">
      <c r="A864" s="37"/>
      <c r="B864" s="38"/>
      <c r="C864" s="29"/>
      <c r="D864" s="39"/>
      <c r="E864" s="29"/>
      <c r="F864" s="40"/>
      <c r="G864" s="40"/>
      <c r="H864" s="40"/>
      <c r="I864" s="29"/>
      <c r="J864" s="29"/>
      <c r="K864" s="29"/>
      <c r="L864" s="29"/>
      <c r="M864" s="29"/>
      <c r="N864" s="29"/>
      <c r="O864" s="29"/>
      <c r="P864" s="29"/>
      <c r="Q864" s="29"/>
      <c r="R864" s="29"/>
      <c r="S864" s="29"/>
      <c r="T864" s="29"/>
      <c r="U864" s="29"/>
      <c r="V864" s="29"/>
      <c r="W864" s="29"/>
      <c r="X864" s="29"/>
      <c r="Y864" s="29"/>
      <c r="Z864" s="29"/>
    </row>
    <row r="865" ht="18.75" customHeight="1">
      <c r="A865" s="37"/>
      <c r="B865" s="38"/>
      <c r="C865" s="29"/>
      <c r="D865" s="39"/>
      <c r="E865" s="29"/>
      <c r="F865" s="40"/>
      <c r="G865" s="40"/>
      <c r="H865" s="40"/>
      <c r="I865" s="29"/>
      <c r="J865" s="29"/>
      <c r="K865" s="29"/>
      <c r="L865" s="29"/>
      <c r="M865" s="29"/>
      <c r="N865" s="29"/>
      <c r="O865" s="29"/>
      <c r="P865" s="29"/>
      <c r="Q865" s="29"/>
      <c r="R865" s="29"/>
      <c r="S865" s="29"/>
      <c r="T865" s="29"/>
      <c r="U865" s="29"/>
      <c r="V865" s="29"/>
      <c r="W865" s="29"/>
      <c r="X865" s="29"/>
      <c r="Y865" s="29"/>
      <c r="Z865" s="29"/>
    </row>
    <row r="866" ht="18.75" customHeight="1">
      <c r="A866" s="37"/>
      <c r="B866" s="38"/>
      <c r="C866" s="29"/>
      <c r="D866" s="39"/>
      <c r="E866" s="29"/>
      <c r="F866" s="40"/>
      <c r="G866" s="40"/>
      <c r="H866" s="40"/>
      <c r="I866" s="29"/>
      <c r="J866" s="29"/>
      <c r="K866" s="29"/>
      <c r="L866" s="29"/>
      <c r="M866" s="29"/>
      <c r="N866" s="29"/>
      <c r="O866" s="29"/>
      <c r="P866" s="29"/>
      <c r="Q866" s="29"/>
      <c r="R866" s="29"/>
      <c r="S866" s="29"/>
      <c r="T866" s="29"/>
      <c r="U866" s="29"/>
      <c r="V866" s="29"/>
      <c r="W866" s="29"/>
      <c r="X866" s="29"/>
      <c r="Y866" s="29"/>
      <c r="Z866" s="29"/>
    </row>
    <row r="867" ht="18.75" customHeight="1">
      <c r="A867" s="37"/>
      <c r="B867" s="38"/>
      <c r="C867" s="29"/>
      <c r="D867" s="39"/>
      <c r="E867" s="29"/>
      <c r="F867" s="40"/>
      <c r="G867" s="40"/>
      <c r="H867" s="40"/>
      <c r="I867" s="29"/>
      <c r="J867" s="29"/>
      <c r="K867" s="29"/>
      <c r="L867" s="29"/>
      <c r="M867" s="29"/>
      <c r="N867" s="29"/>
      <c r="O867" s="29"/>
      <c r="P867" s="29"/>
      <c r="Q867" s="29"/>
      <c r="R867" s="29"/>
      <c r="S867" s="29"/>
      <c r="T867" s="29"/>
      <c r="U867" s="29"/>
      <c r="V867" s="29"/>
      <c r="W867" s="29"/>
      <c r="X867" s="29"/>
      <c r="Y867" s="29"/>
      <c r="Z867" s="29"/>
    </row>
    <row r="868" ht="18.75" customHeight="1">
      <c r="A868" s="37"/>
      <c r="B868" s="38"/>
      <c r="C868" s="29"/>
      <c r="D868" s="39"/>
      <c r="E868" s="29"/>
      <c r="F868" s="40"/>
      <c r="G868" s="40"/>
      <c r="H868" s="40"/>
      <c r="I868" s="29"/>
      <c r="J868" s="29"/>
      <c r="K868" s="29"/>
      <c r="L868" s="29"/>
      <c r="M868" s="29"/>
      <c r="N868" s="29"/>
      <c r="O868" s="29"/>
      <c r="P868" s="29"/>
      <c r="Q868" s="29"/>
      <c r="R868" s="29"/>
      <c r="S868" s="29"/>
      <c r="T868" s="29"/>
      <c r="U868" s="29"/>
      <c r="V868" s="29"/>
      <c r="W868" s="29"/>
      <c r="X868" s="29"/>
      <c r="Y868" s="29"/>
      <c r="Z868" s="29"/>
    </row>
    <row r="869" ht="18.75" customHeight="1">
      <c r="A869" s="37"/>
      <c r="B869" s="38"/>
      <c r="C869" s="29"/>
      <c r="D869" s="39"/>
      <c r="E869" s="29"/>
      <c r="F869" s="40"/>
      <c r="G869" s="40"/>
      <c r="H869" s="40"/>
      <c r="I869" s="29"/>
      <c r="J869" s="29"/>
      <c r="K869" s="29"/>
      <c r="L869" s="29"/>
      <c r="M869" s="29"/>
      <c r="N869" s="29"/>
      <c r="O869" s="29"/>
      <c r="P869" s="29"/>
      <c r="Q869" s="29"/>
      <c r="R869" s="29"/>
      <c r="S869" s="29"/>
      <c r="T869" s="29"/>
      <c r="U869" s="29"/>
      <c r="V869" s="29"/>
      <c r="W869" s="29"/>
      <c r="X869" s="29"/>
      <c r="Y869" s="29"/>
      <c r="Z869" s="29"/>
    </row>
    <row r="870" ht="18.75" customHeight="1">
      <c r="A870" s="37"/>
      <c r="B870" s="38"/>
      <c r="C870" s="29"/>
      <c r="D870" s="39"/>
      <c r="E870" s="29"/>
      <c r="F870" s="40"/>
      <c r="G870" s="40"/>
      <c r="H870" s="40"/>
      <c r="I870" s="29"/>
      <c r="J870" s="29"/>
      <c r="K870" s="29"/>
      <c r="L870" s="29"/>
      <c r="M870" s="29"/>
      <c r="N870" s="29"/>
      <c r="O870" s="29"/>
      <c r="P870" s="29"/>
      <c r="Q870" s="29"/>
      <c r="R870" s="29"/>
      <c r="S870" s="29"/>
      <c r="T870" s="29"/>
      <c r="U870" s="29"/>
      <c r="V870" s="29"/>
      <c r="W870" s="29"/>
      <c r="X870" s="29"/>
      <c r="Y870" s="29"/>
      <c r="Z870" s="29"/>
    </row>
    <row r="871" ht="18.75" customHeight="1">
      <c r="A871" s="37"/>
      <c r="B871" s="38"/>
      <c r="C871" s="29"/>
      <c r="D871" s="39"/>
      <c r="E871" s="29"/>
      <c r="F871" s="40"/>
      <c r="G871" s="40"/>
      <c r="H871" s="40"/>
      <c r="I871" s="29"/>
      <c r="J871" s="29"/>
      <c r="K871" s="29"/>
      <c r="L871" s="29"/>
      <c r="M871" s="29"/>
      <c r="N871" s="29"/>
      <c r="O871" s="29"/>
      <c r="P871" s="29"/>
      <c r="Q871" s="29"/>
      <c r="R871" s="29"/>
      <c r="S871" s="29"/>
      <c r="T871" s="29"/>
      <c r="U871" s="29"/>
      <c r="V871" s="29"/>
      <c r="W871" s="29"/>
      <c r="X871" s="29"/>
      <c r="Y871" s="29"/>
      <c r="Z871" s="29"/>
    </row>
    <row r="872" ht="18.75" customHeight="1">
      <c r="A872" s="37"/>
      <c r="B872" s="38"/>
      <c r="C872" s="29"/>
      <c r="D872" s="39"/>
      <c r="E872" s="29"/>
      <c r="F872" s="40"/>
      <c r="G872" s="40"/>
      <c r="H872" s="40"/>
      <c r="I872" s="29"/>
      <c r="J872" s="29"/>
      <c r="K872" s="29"/>
      <c r="L872" s="29"/>
      <c r="M872" s="29"/>
      <c r="N872" s="29"/>
      <c r="O872" s="29"/>
      <c r="P872" s="29"/>
      <c r="Q872" s="29"/>
      <c r="R872" s="29"/>
      <c r="S872" s="29"/>
      <c r="T872" s="29"/>
      <c r="U872" s="29"/>
      <c r="V872" s="29"/>
      <c r="W872" s="29"/>
      <c r="X872" s="29"/>
      <c r="Y872" s="29"/>
      <c r="Z872" s="29"/>
    </row>
    <row r="873" ht="18.75" customHeight="1">
      <c r="A873" s="37"/>
      <c r="B873" s="38"/>
      <c r="C873" s="29"/>
      <c r="D873" s="39"/>
      <c r="E873" s="29"/>
      <c r="F873" s="40"/>
      <c r="G873" s="40"/>
      <c r="H873" s="40"/>
      <c r="I873" s="29"/>
      <c r="J873" s="29"/>
      <c r="K873" s="29"/>
      <c r="L873" s="29"/>
      <c r="M873" s="29"/>
      <c r="N873" s="29"/>
      <c r="O873" s="29"/>
      <c r="P873" s="29"/>
      <c r="Q873" s="29"/>
      <c r="R873" s="29"/>
      <c r="S873" s="29"/>
      <c r="T873" s="29"/>
      <c r="U873" s="29"/>
      <c r="V873" s="29"/>
      <c r="W873" s="29"/>
      <c r="X873" s="29"/>
      <c r="Y873" s="29"/>
      <c r="Z873" s="29"/>
    </row>
    <row r="874" ht="18.75" customHeight="1">
      <c r="A874" s="37"/>
      <c r="B874" s="38"/>
      <c r="C874" s="29"/>
      <c r="D874" s="39"/>
      <c r="E874" s="29"/>
      <c r="F874" s="40"/>
      <c r="G874" s="40"/>
      <c r="H874" s="40"/>
      <c r="I874" s="29"/>
      <c r="J874" s="29"/>
      <c r="K874" s="29"/>
      <c r="L874" s="29"/>
      <c r="M874" s="29"/>
      <c r="N874" s="29"/>
      <c r="O874" s="29"/>
      <c r="P874" s="29"/>
      <c r="Q874" s="29"/>
      <c r="R874" s="29"/>
      <c r="S874" s="29"/>
      <c r="T874" s="29"/>
      <c r="U874" s="29"/>
      <c r="V874" s="29"/>
      <c r="W874" s="29"/>
      <c r="X874" s="29"/>
      <c r="Y874" s="29"/>
      <c r="Z874" s="29"/>
    </row>
    <row r="875" ht="18.75" customHeight="1">
      <c r="A875" s="37"/>
      <c r="B875" s="38"/>
      <c r="C875" s="29"/>
      <c r="D875" s="39"/>
      <c r="E875" s="29"/>
      <c r="F875" s="40"/>
      <c r="G875" s="40"/>
      <c r="H875" s="40"/>
      <c r="I875" s="29"/>
      <c r="J875" s="29"/>
      <c r="K875" s="29"/>
      <c r="L875" s="29"/>
      <c r="M875" s="29"/>
      <c r="N875" s="29"/>
      <c r="O875" s="29"/>
      <c r="P875" s="29"/>
      <c r="Q875" s="29"/>
      <c r="R875" s="29"/>
      <c r="S875" s="29"/>
      <c r="T875" s="29"/>
      <c r="U875" s="29"/>
      <c r="V875" s="29"/>
      <c r="W875" s="29"/>
      <c r="X875" s="29"/>
      <c r="Y875" s="29"/>
      <c r="Z875" s="29"/>
    </row>
    <row r="876" ht="18.75" customHeight="1">
      <c r="A876" s="37"/>
      <c r="B876" s="38"/>
      <c r="C876" s="29"/>
      <c r="D876" s="39"/>
      <c r="E876" s="29"/>
      <c r="F876" s="40"/>
      <c r="G876" s="40"/>
      <c r="H876" s="40"/>
      <c r="I876" s="29"/>
      <c r="J876" s="29"/>
      <c r="K876" s="29"/>
      <c r="L876" s="29"/>
      <c r="M876" s="29"/>
      <c r="N876" s="29"/>
      <c r="O876" s="29"/>
      <c r="P876" s="29"/>
      <c r="Q876" s="29"/>
      <c r="R876" s="29"/>
      <c r="S876" s="29"/>
      <c r="T876" s="29"/>
      <c r="U876" s="29"/>
      <c r="V876" s="29"/>
      <c r="W876" s="29"/>
      <c r="X876" s="29"/>
      <c r="Y876" s="29"/>
      <c r="Z876" s="29"/>
    </row>
    <row r="877" ht="18.75" customHeight="1">
      <c r="A877" s="37"/>
      <c r="B877" s="38"/>
      <c r="C877" s="29"/>
      <c r="D877" s="39"/>
      <c r="E877" s="29"/>
      <c r="F877" s="40"/>
      <c r="G877" s="40"/>
      <c r="H877" s="40"/>
      <c r="I877" s="29"/>
      <c r="J877" s="29"/>
      <c r="K877" s="29"/>
      <c r="L877" s="29"/>
      <c r="M877" s="29"/>
      <c r="N877" s="29"/>
      <c r="O877" s="29"/>
      <c r="P877" s="29"/>
      <c r="Q877" s="29"/>
      <c r="R877" s="29"/>
      <c r="S877" s="29"/>
      <c r="T877" s="29"/>
      <c r="U877" s="29"/>
      <c r="V877" s="29"/>
      <c r="W877" s="29"/>
      <c r="X877" s="29"/>
      <c r="Y877" s="29"/>
      <c r="Z877" s="29"/>
    </row>
    <row r="878" ht="18.75" customHeight="1">
      <c r="A878" s="37"/>
      <c r="B878" s="38"/>
      <c r="C878" s="29"/>
      <c r="D878" s="39"/>
      <c r="E878" s="29"/>
      <c r="F878" s="40"/>
      <c r="G878" s="40"/>
      <c r="H878" s="40"/>
      <c r="I878" s="29"/>
      <c r="J878" s="29"/>
      <c r="K878" s="29"/>
      <c r="L878" s="29"/>
      <c r="M878" s="29"/>
      <c r="N878" s="29"/>
      <c r="O878" s="29"/>
      <c r="P878" s="29"/>
      <c r="Q878" s="29"/>
      <c r="R878" s="29"/>
      <c r="S878" s="29"/>
      <c r="T878" s="29"/>
      <c r="U878" s="29"/>
      <c r="V878" s="29"/>
      <c r="W878" s="29"/>
      <c r="X878" s="29"/>
      <c r="Y878" s="29"/>
      <c r="Z878" s="29"/>
    </row>
    <row r="879" ht="18.75" customHeight="1">
      <c r="A879" s="37"/>
      <c r="B879" s="38"/>
      <c r="C879" s="29"/>
      <c r="D879" s="39"/>
      <c r="E879" s="29"/>
      <c r="F879" s="40"/>
      <c r="G879" s="40"/>
      <c r="H879" s="40"/>
      <c r="I879" s="29"/>
      <c r="J879" s="29"/>
      <c r="K879" s="29"/>
      <c r="L879" s="29"/>
      <c r="M879" s="29"/>
      <c r="N879" s="29"/>
      <c r="O879" s="29"/>
      <c r="P879" s="29"/>
      <c r="Q879" s="29"/>
      <c r="R879" s="29"/>
      <c r="S879" s="29"/>
      <c r="T879" s="29"/>
      <c r="U879" s="29"/>
      <c r="V879" s="29"/>
      <c r="W879" s="29"/>
      <c r="X879" s="29"/>
      <c r="Y879" s="29"/>
      <c r="Z879" s="29"/>
    </row>
    <row r="880" ht="18.75" customHeight="1">
      <c r="A880" s="37"/>
      <c r="B880" s="38"/>
      <c r="C880" s="29"/>
      <c r="D880" s="39"/>
      <c r="E880" s="29"/>
      <c r="F880" s="40"/>
      <c r="G880" s="40"/>
      <c r="H880" s="40"/>
      <c r="I880" s="29"/>
      <c r="J880" s="29"/>
      <c r="K880" s="29"/>
      <c r="L880" s="29"/>
      <c r="M880" s="29"/>
      <c r="N880" s="29"/>
      <c r="O880" s="29"/>
      <c r="P880" s="29"/>
      <c r="Q880" s="29"/>
      <c r="R880" s="29"/>
      <c r="S880" s="29"/>
      <c r="T880" s="29"/>
      <c r="U880" s="29"/>
      <c r="V880" s="29"/>
      <c r="W880" s="29"/>
      <c r="X880" s="29"/>
      <c r="Y880" s="29"/>
      <c r="Z880" s="29"/>
    </row>
    <row r="881" ht="18.75" customHeight="1">
      <c r="A881" s="37"/>
      <c r="B881" s="38"/>
      <c r="C881" s="29"/>
      <c r="D881" s="39"/>
      <c r="E881" s="29"/>
      <c r="F881" s="40"/>
      <c r="G881" s="40"/>
      <c r="H881" s="40"/>
      <c r="I881" s="29"/>
      <c r="J881" s="29"/>
      <c r="K881" s="29"/>
      <c r="L881" s="29"/>
      <c r="M881" s="29"/>
      <c r="N881" s="29"/>
      <c r="O881" s="29"/>
      <c r="P881" s="29"/>
      <c r="Q881" s="29"/>
      <c r="R881" s="29"/>
      <c r="S881" s="29"/>
      <c r="T881" s="29"/>
      <c r="U881" s="29"/>
      <c r="V881" s="29"/>
      <c r="W881" s="29"/>
      <c r="X881" s="29"/>
      <c r="Y881" s="29"/>
      <c r="Z881" s="29"/>
    </row>
    <row r="882" ht="18.75" customHeight="1">
      <c r="A882" s="37"/>
      <c r="B882" s="38"/>
      <c r="C882" s="29"/>
      <c r="D882" s="39"/>
      <c r="E882" s="29"/>
      <c r="F882" s="40"/>
      <c r="G882" s="40"/>
      <c r="H882" s="40"/>
      <c r="I882" s="29"/>
      <c r="J882" s="29"/>
      <c r="K882" s="29"/>
      <c r="L882" s="29"/>
      <c r="M882" s="29"/>
      <c r="N882" s="29"/>
      <c r="O882" s="29"/>
      <c r="P882" s="29"/>
      <c r="Q882" s="29"/>
      <c r="R882" s="29"/>
      <c r="S882" s="29"/>
      <c r="T882" s="29"/>
      <c r="U882" s="29"/>
      <c r="V882" s="29"/>
      <c r="W882" s="29"/>
      <c r="X882" s="29"/>
      <c r="Y882" s="29"/>
      <c r="Z882" s="29"/>
    </row>
    <row r="883" ht="18.75" customHeight="1">
      <c r="A883" s="37"/>
      <c r="B883" s="38"/>
      <c r="C883" s="29"/>
      <c r="D883" s="39"/>
      <c r="E883" s="29"/>
      <c r="F883" s="40"/>
      <c r="G883" s="40"/>
      <c r="H883" s="40"/>
      <c r="I883" s="29"/>
      <c r="J883" s="29"/>
      <c r="K883" s="29"/>
      <c r="L883" s="29"/>
      <c r="M883" s="29"/>
      <c r="N883" s="29"/>
      <c r="O883" s="29"/>
      <c r="P883" s="29"/>
      <c r="Q883" s="29"/>
      <c r="R883" s="29"/>
      <c r="S883" s="29"/>
      <c r="T883" s="29"/>
      <c r="U883" s="29"/>
      <c r="V883" s="29"/>
      <c r="W883" s="29"/>
      <c r="X883" s="29"/>
      <c r="Y883" s="29"/>
      <c r="Z883" s="29"/>
    </row>
    <row r="884" ht="18.75" customHeight="1">
      <c r="A884" s="37"/>
      <c r="B884" s="38"/>
      <c r="C884" s="29"/>
      <c r="D884" s="39"/>
      <c r="E884" s="29"/>
      <c r="F884" s="40"/>
      <c r="G884" s="40"/>
      <c r="H884" s="40"/>
      <c r="I884" s="29"/>
      <c r="J884" s="29"/>
      <c r="K884" s="29"/>
      <c r="L884" s="29"/>
      <c r="M884" s="29"/>
      <c r="N884" s="29"/>
      <c r="O884" s="29"/>
      <c r="P884" s="29"/>
      <c r="Q884" s="29"/>
      <c r="R884" s="29"/>
      <c r="S884" s="29"/>
      <c r="T884" s="29"/>
      <c r="U884" s="29"/>
      <c r="V884" s="29"/>
      <c r="W884" s="29"/>
      <c r="X884" s="29"/>
      <c r="Y884" s="29"/>
      <c r="Z884" s="29"/>
    </row>
    <row r="885" ht="18.75" customHeight="1">
      <c r="A885" s="37"/>
      <c r="B885" s="38"/>
      <c r="C885" s="29"/>
      <c r="D885" s="39"/>
      <c r="E885" s="29"/>
      <c r="F885" s="40"/>
      <c r="G885" s="40"/>
      <c r="H885" s="40"/>
      <c r="I885" s="29"/>
      <c r="J885" s="29"/>
      <c r="K885" s="29"/>
      <c r="L885" s="29"/>
      <c r="M885" s="29"/>
      <c r="N885" s="29"/>
      <c r="O885" s="29"/>
      <c r="P885" s="29"/>
      <c r="Q885" s="29"/>
      <c r="R885" s="29"/>
      <c r="S885" s="29"/>
      <c r="T885" s="29"/>
      <c r="U885" s="29"/>
      <c r="V885" s="29"/>
      <c r="W885" s="29"/>
      <c r="X885" s="29"/>
      <c r="Y885" s="29"/>
      <c r="Z885" s="29"/>
    </row>
    <row r="886" ht="18.75" customHeight="1">
      <c r="A886" s="37"/>
      <c r="B886" s="38"/>
      <c r="C886" s="29"/>
      <c r="D886" s="39"/>
      <c r="E886" s="29"/>
      <c r="F886" s="40"/>
      <c r="G886" s="40"/>
      <c r="H886" s="40"/>
      <c r="I886" s="29"/>
      <c r="J886" s="29"/>
      <c r="K886" s="29"/>
      <c r="L886" s="29"/>
      <c r="M886" s="29"/>
      <c r="N886" s="29"/>
      <c r="O886" s="29"/>
      <c r="P886" s="29"/>
      <c r="Q886" s="29"/>
      <c r="R886" s="29"/>
      <c r="S886" s="29"/>
      <c r="T886" s="29"/>
      <c r="U886" s="29"/>
      <c r="V886" s="29"/>
      <c r="W886" s="29"/>
      <c r="X886" s="29"/>
      <c r="Y886" s="29"/>
      <c r="Z886" s="29"/>
    </row>
    <row r="887" ht="18.75" customHeight="1">
      <c r="A887" s="37"/>
      <c r="B887" s="38"/>
      <c r="C887" s="29"/>
      <c r="D887" s="39"/>
      <c r="E887" s="29"/>
      <c r="F887" s="40"/>
      <c r="G887" s="40"/>
      <c r="H887" s="40"/>
      <c r="I887" s="29"/>
      <c r="J887" s="29"/>
      <c r="K887" s="29"/>
      <c r="L887" s="29"/>
      <c r="M887" s="29"/>
      <c r="N887" s="29"/>
      <c r="O887" s="29"/>
      <c r="P887" s="29"/>
      <c r="Q887" s="29"/>
      <c r="R887" s="29"/>
      <c r="S887" s="29"/>
      <c r="T887" s="29"/>
      <c r="U887" s="29"/>
      <c r="V887" s="29"/>
      <c r="W887" s="29"/>
      <c r="X887" s="29"/>
      <c r="Y887" s="29"/>
      <c r="Z887" s="29"/>
    </row>
    <row r="888" ht="18.75" customHeight="1">
      <c r="A888" s="37"/>
      <c r="B888" s="38"/>
      <c r="C888" s="29"/>
      <c r="D888" s="39"/>
      <c r="E888" s="29"/>
      <c r="F888" s="40"/>
      <c r="G888" s="40"/>
      <c r="H888" s="40"/>
      <c r="I888" s="29"/>
      <c r="J888" s="29"/>
      <c r="K888" s="29"/>
      <c r="L888" s="29"/>
      <c r="M888" s="29"/>
      <c r="N888" s="29"/>
      <c r="O888" s="29"/>
      <c r="P888" s="29"/>
      <c r="Q888" s="29"/>
      <c r="R888" s="29"/>
      <c r="S888" s="29"/>
      <c r="T888" s="29"/>
      <c r="U888" s="29"/>
      <c r="V888" s="29"/>
      <c r="W888" s="29"/>
      <c r="X888" s="29"/>
      <c r="Y888" s="29"/>
      <c r="Z888" s="29"/>
    </row>
    <row r="889" ht="18.75" customHeight="1">
      <c r="A889" s="37"/>
      <c r="B889" s="38"/>
      <c r="C889" s="29"/>
      <c r="D889" s="39"/>
      <c r="E889" s="29"/>
      <c r="F889" s="40"/>
      <c r="G889" s="40"/>
      <c r="H889" s="40"/>
      <c r="I889" s="29"/>
      <c r="J889" s="29"/>
      <c r="K889" s="29"/>
      <c r="L889" s="29"/>
      <c r="M889" s="29"/>
      <c r="N889" s="29"/>
      <c r="O889" s="29"/>
      <c r="P889" s="29"/>
      <c r="Q889" s="29"/>
      <c r="R889" s="29"/>
      <c r="S889" s="29"/>
      <c r="T889" s="29"/>
      <c r="U889" s="29"/>
      <c r="V889" s="29"/>
      <c r="W889" s="29"/>
      <c r="X889" s="29"/>
      <c r="Y889" s="29"/>
      <c r="Z889" s="29"/>
    </row>
    <row r="890" ht="18.75" customHeight="1">
      <c r="A890" s="37"/>
      <c r="B890" s="38"/>
      <c r="C890" s="29"/>
      <c r="D890" s="39"/>
      <c r="E890" s="29"/>
      <c r="F890" s="40"/>
      <c r="G890" s="40"/>
      <c r="H890" s="40"/>
      <c r="I890" s="29"/>
      <c r="J890" s="29"/>
      <c r="K890" s="29"/>
      <c r="L890" s="29"/>
      <c r="M890" s="29"/>
      <c r="N890" s="29"/>
      <c r="O890" s="29"/>
      <c r="P890" s="29"/>
      <c r="Q890" s="29"/>
      <c r="R890" s="29"/>
      <c r="S890" s="29"/>
      <c r="T890" s="29"/>
      <c r="U890" s="29"/>
      <c r="V890" s="29"/>
      <c r="W890" s="29"/>
      <c r="X890" s="29"/>
      <c r="Y890" s="29"/>
      <c r="Z890" s="29"/>
    </row>
    <row r="891" ht="18.75" customHeight="1">
      <c r="A891" s="37"/>
      <c r="B891" s="38"/>
      <c r="C891" s="29"/>
      <c r="D891" s="39"/>
      <c r="E891" s="29"/>
      <c r="F891" s="40"/>
      <c r="G891" s="40"/>
      <c r="H891" s="40"/>
      <c r="I891" s="29"/>
      <c r="J891" s="29"/>
      <c r="K891" s="29"/>
      <c r="L891" s="29"/>
      <c r="M891" s="29"/>
      <c r="N891" s="29"/>
      <c r="O891" s="29"/>
      <c r="P891" s="29"/>
      <c r="Q891" s="29"/>
      <c r="R891" s="29"/>
      <c r="S891" s="29"/>
      <c r="T891" s="29"/>
      <c r="U891" s="29"/>
      <c r="V891" s="29"/>
      <c r="W891" s="29"/>
      <c r="X891" s="29"/>
      <c r="Y891" s="29"/>
      <c r="Z891" s="29"/>
    </row>
    <row r="892" ht="18.75" customHeight="1">
      <c r="A892" s="37"/>
      <c r="B892" s="38"/>
      <c r="C892" s="29"/>
      <c r="D892" s="39"/>
      <c r="E892" s="29"/>
      <c r="F892" s="40"/>
      <c r="G892" s="40"/>
      <c r="H892" s="40"/>
      <c r="I892" s="29"/>
      <c r="J892" s="29"/>
      <c r="K892" s="29"/>
      <c r="L892" s="29"/>
      <c r="M892" s="29"/>
      <c r="N892" s="29"/>
      <c r="O892" s="29"/>
      <c r="P892" s="29"/>
      <c r="Q892" s="29"/>
      <c r="R892" s="29"/>
      <c r="S892" s="29"/>
      <c r="T892" s="29"/>
      <c r="U892" s="29"/>
      <c r="V892" s="29"/>
      <c r="W892" s="29"/>
      <c r="X892" s="29"/>
      <c r="Y892" s="29"/>
      <c r="Z892" s="29"/>
    </row>
    <row r="893" ht="18.75" customHeight="1">
      <c r="A893" s="37"/>
      <c r="B893" s="38"/>
      <c r="C893" s="29"/>
      <c r="D893" s="39"/>
      <c r="E893" s="29"/>
      <c r="F893" s="40"/>
      <c r="G893" s="40"/>
      <c r="H893" s="40"/>
      <c r="I893" s="29"/>
      <c r="J893" s="29"/>
      <c r="K893" s="29"/>
      <c r="L893" s="29"/>
      <c r="M893" s="29"/>
      <c r="N893" s="29"/>
      <c r="O893" s="29"/>
      <c r="P893" s="29"/>
      <c r="Q893" s="29"/>
      <c r="R893" s="29"/>
      <c r="S893" s="29"/>
      <c r="T893" s="29"/>
      <c r="U893" s="29"/>
      <c r="V893" s="29"/>
      <c r="W893" s="29"/>
      <c r="X893" s="29"/>
      <c r="Y893" s="29"/>
      <c r="Z893" s="29"/>
    </row>
    <row r="894" ht="18.75" customHeight="1">
      <c r="A894" s="37"/>
      <c r="B894" s="38"/>
      <c r="C894" s="29"/>
      <c r="D894" s="39"/>
      <c r="E894" s="29"/>
      <c r="F894" s="40"/>
      <c r="G894" s="40"/>
      <c r="H894" s="40"/>
      <c r="I894" s="29"/>
      <c r="J894" s="29"/>
      <c r="K894" s="29"/>
      <c r="L894" s="29"/>
      <c r="M894" s="29"/>
      <c r="N894" s="29"/>
      <c r="O894" s="29"/>
      <c r="P894" s="29"/>
      <c r="Q894" s="29"/>
      <c r="R894" s="29"/>
      <c r="S894" s="29"/>
      <c r="T894" s="29"/>
      <c r="U894" s="29"/>
      <c r="V894" s="29"/>
      <c r="W894" s="29"/>
      <c r="X894" s="29"/>
      <c r="Y894" s="29"/>
      <c r="Z894" s="29"/>
    </row>
    <row r="895" ht="18.75" customHeight="1">
      <c r="A895" s="37"/>
      <c r="B895" s="38"/>
      <c r="C895" s="29"/>
      <c r="D895" s="39"/>
      <c r="E895" s="29"/>
      <c r="F895" s="40"/>
      <c r="G895" s="40"/>
      <c r="H895" s="40"/>
      <c r="I895" s="29"/>
      <c r="J895" s="29"/>
      <c r="K895" s="29"/>
      <c r="L895" s="29"/>
      <c r="M895" s="29"/>
      <c r="N895" s="29"/>
      <c r="O895" s="29"/>
      <c r="P895" s="29"/>
      <c r="Q895" s="29"/>
      <c r="R895" s="29"/>
      <c r="S895" s="29"/>
      <c r="T895" s="29"/>
      <c r="U895" s="29"/>
      <c r="V895" s="29"/>
      <c r="W895" s="29"/>
      <c r="X895" s="29"/>
      <c r="Y895" s="29"/>
      <c r="Z895" s="29"/>
    </row>
    <row r="896" ht="18.75" customHeight="1">
      <c r="A896" s="37"/>
      <c r="B896" s="38"/>
      <c r="C896" s="29"/>
      <c r="D896" s="39"/>
      <c r="E896" s="29"/>
      <c r="F896" s="40"/>
      <c r="G896" s="40"/>
      <c r="H896" s="40"/>
      <c r="I896" s="29"/>
      <c r="J896" s="29"/>
      <c r="K896" s="29"/>
      <c r="L896" s="29"/>
      <c r="M896" s="29"/>
      <c r="N896" s="29"/>
      <c r="O896" s="29"/>
      <c r="P896" s="29"/>
      <c r="Q896" s="29"/>
      <c r="R896" s="29"/>
      <c r="S896" s="29"/>
      <c r="T896" s="29"/>
      <c r="U896" s="29"/>
      <c r="V896" s="29"/>
      <c r="W896" s="29"/>
      <c r="X896" s="29"/>
      <c r="Y896" s="29"/>
      <c r="Z896" s="29"/>
    </row>
    <row r="897" ht="18.75" customHeight="1">
      <c r="A897" s="37"/>
      <c r="B897" s="38"/>
      <c r="C897" s="29"/>
      <c r="D897" s="39"/>
      <c r="E897" s="29"/>
      <c r="F897" s="40"/>
      <c r="G897" s="40"/>
      <c r="H897" s="40"/>
      <c r="I897" s="29"/>
      <c r="J897" s="29"/>
      <c r="K897" s="29"/>
      <c r="L897" s="29"/>
      <c r="M897" s="29"/>
      <c r="N897" s="29"/>
      <c r="O897" s="29"/>
      <c r="P897" s="29"/>
      <c r="Q897" s="29"/>
      <c r="R897" s="29"/>
      <c r="S897" s="29"/>
      <c r="T897" s="29"/>
      <c r="U897" s="29"/>
      <c r="V897" s="29"/>
      <c r="W897" s="29"/>
      <c r="X897" s="29"/>
      <c r="Y897" s="29"/>
      <c r="Z897" s="29"/>
    </row>
    <row r="898" ht="18.75" customHeight="1">
      <c r="A898" s="37"/>
      <c r="B898" s="38"/>
      <c r="C898" s="29"/>
      <c r="D898" s="39"/>
      <c r="E898" s="29"/>
      <c r="F898" s="40"/>
      <c r="G898" s="40"/>
      <c r="H898" s="40"/>
      <c r="I898" s="29"/>
      <c r="J898" s="29"/>
      <c r="K898" s="29"/>
      <c r="L898" s="29"/>
      <c r="M898" s="29"/>
      <c r="N898" s="29"/>
      <c r="O898" s="29"/>
      <c r="P898" s="29"/>
      <c r="Q898" s="29"/>
      <c r="R898" s="29"/>
      <c r="S898" s="29"/>
      <c r="T898" s="29"/>
      <c r="U898" s="29"/>
      <c r="V898" s="29"/>
      <c r="W898" s="29"/>
      <c r="X898" s="29"/>
      <c r="Y898" s="29"/>
      <c r="Z898" s="29"/>
    </row>
    <row r="899" ht="18.75" customHeight="1">
      <c r="A899" s="37"/>
      <c r="B899" s="38"/>
      <c r="C899" s="29"/>
      <c r="D899" s="39"/>
      <c r="E899" s="29"/>
      <c r="F899" s="40"/>
      <c r="G899" s="40"/>
      <c r="H899" s="40"/>
      <c r="I899" s="29"/>
      <c r="J899" s="29"/>
      <c r="K899" s="29"/>
      <c r="L899" s="29"/>
      <c r="M899" s="29"/>
      <c r="N899" s="29"/>
      <c r="O899" s="29"/>
      <c r="P899" s="29"/>
      <c r="Q899" s="29"/>
      <c r="R899" s="29"/>
      <c r="S899" s="29"/>
      <c r="T899" s="29"/>
      <c r="U899" s="29"/>
      <c r="V899" s="29"/>
      <c r="W899" s="29"/>
      <c r="X899" s="29"/>
      <c r="Y899" s="29"/>
      <c r="Z899" s="29"/>
    </row>
    <row r="900" ht="18.75" customHeight="1">
      <c r="A900" s="37"/>
      <c r="B900" s="38"/>
      <c r="C900" s="29"/>
      <c r="D900" s="39"/>
      <c r="E900" s="29"/>
      <c r="F900" s="40"/>
      <c r="G900" s="40"/>
      <c r="H900" s="40"/>
      <c r="I900" s="29"/>
      <c r="J900" s="29"/>
      <c r="K900" s="29"/>
      <c r="L900" s="29"/>
      <c r="M900" s="29"/>
      <c r="N900" s="29"/>
      <c r="O900" s="29"/>
      <c r="P900" s="29"/>
      <c r="Q900" s="29"/>
      <c r="R900" s="29"/>
      <c r="S900" s="29"/>
      <c r="T900" s="29"/>
      <c r="U900" s="29"/>
      <c r="V900" s="29"/>
      <c r="W900" s="29"/>
      <c r="X900" s="29"/>
      <c r="Y900" s="29"/>
      <c r="Z900" s="29"/>
    </row>
    <row r="901" ht="18.75" customHeight="1">
      <c r="A901" s="37"/>
      <c r="B901" s="38"/>
      <c r="C901" s="29"/>
      <c r="D901" s="39"/>
      <c r="E901" s="29"/>
      <c r="F901" s="40"/>
      <c r="G901" s="40"/>
      <c r="H901" s="40"/>
      <c r="I901" s="29"/>
      <c r="J901" s="29"/>
      <c r="K901" s="29"/>
      <c r="L901" s="29"/>
      <c r="M901" s="29"/>
      <c r="N901" s="29"/>
      <c r="O901" s="29"/>
      <c r="P901" s="29"/>
      <c r="Q901" s="29"/>
      <c r="R901" s="29"/>
      <c r="S901" s="29"/>
      <c r="T901" s="29"/>
      <c r="U901" s="29"/>
      <c r="V901" s="29"/>
      <c r="W901" s="29"/>
      <c r="X901" s="29"/>
      <c r="Y901" s="29"/>
      <c r="Z901" s="29"/>
    </row>
    <row r="902" ht="18.75" customHeight="1">
      <c r="A902" s="37"/>
      <c r="B902" s="38"/>
      <c r="C902" s="29"/>
      <c r="D902" s="39"/>
      <c r="E902" s="29"/>
      <c r="F902" s="40"/>
      <c r="G902" s="40"/>
      <c r="H902" s="40"/>
      <c r="I902" s="29"/>
      <c r="J902" s="29"/>
      <c r="K902" s="29"/>
      <c r="L902" s="29"/>
      <c r="M902" s="29"/>
      <c r="N902" s="29"/>
      <c r="O902" s="29"/>
      <c r="P902" s="29"/>
      <c r="Q902" s="29"/>
      <c r="R902" s="29"/>
      <c r="S902" s="29"/>
      <c r="T902" s="29"/>
      <c r="U902" s="29"/>
      <c r="V902" s="29"/>
      <c r="W902" s="29"/>
      <c r="X902" s="29"/>
      <c r="Y902" s="29"/>
      <c r="Z902" s="29"/>
    </row>
    <row r="903" ht="18.75" customHeight="1">
      <c r="A903" s="37"/>
      <c r="B903" s="38"/>
      <c r="C903" s="29"/>
      <c r="D903" s="39"/>
      <c r="E903" s="29"/>
      <c r="F903" s="40"/>
      <c r="G903" s="40"/>
      <c r="H903" s="40"/>
      <c r="I903" s="29"/>
      <c r="J903" s="29"/>
      <c r="K903" s="29"/>
      <c r="L903" s="29"/>
      <c r="M903" s="29"/>
      <c r="N903" s="29"/>
      <c r="O903" s="29"/>
      <c r="P903" s="29"/>
      <c r="Q903" s="29"/>
      <c r="R903" s="29"/>
      <c r="S903" s="29"/>
      <c r="T903" s="29"/>
      <c r="U903" s="29"/>
      <c r="V903" s="29"/>
      <c r="W903" s="29"/>
      <c r="X903" s="29"/>
      <c r="Y903" s="29"/>
      <c r="Z903" s="29"/>
    </row>
    <row r="904" ht="18.75" customHeight="1">
      <c r="A904" s="37"/>
      <c r="B904" s="38"/>
      <c r="C904" s="29"/>
      <c r="D904" s="39"/>
      <c r="E904" s="29"/>
      <c r="F904" s="40"/>
      <c r="G904" s="40"/>
      <c r="H904" s="40"/>
      <c r="I904" s="29"/>
      <c r="J904" s="29"/>
      <c r="K904" s="29"/>
      <c r="L904" s="29"/>
      <c r="M904" s="29"/>
      <c r="N904" s="29"/>
      <c r="O904" s="29"/>
      <c r="P904" s="29"/>
      <c r="Q904" s="29"/>
      <c r="R904" s="29"/>
      <c r="S904" s="29"/>
      <c r="T904" s="29"/>
      <c r="U904" s="29"/>
      <c r="V904" s="29"/>
      <c r="W904" s="29"/>
      <c r="X904" s="29"/>
      <c r="Y904" s="29"/>
      <c r="Z904" s="29"/>
    </row>
    <row r="905" ht="18.75" customHeight="1">
      <c r="A905" s="37"/>
      <c r="B905" s="38"/>
      <c r="C905" s="29"/>
      <c r="D905" s="39"/>
      <c r="E905" s="29"/>
      <c r="F905" s="40"/>
      <c r="G905" s="40"/>
      <c r="H905" s="40"/>
      <c r="I905" s="29"/>
      <c r="J905" s="29"/>
      <c r="K905" s="29"/>
      <c r="L905" s="29"/>
      <c r="M905" s="29"/>
      <c r="N905" s="29"/>
      <c r="O905" s="29"/>
      <c r="P905" s="29"/>
      <c r="Q905" s="29"/>
      <c r="R905" s="29"/>
      <c r="S905" s="29"/>
      <c r="T905" s="29"/>
      <c r="U905" s="29"/>
      <c r="V905" s="29"/>
      <c r="W905" s="29"/>
      <c r="X905" s="29"/>
      <c r="Y905" s="29"/>
      <c r="Z905" s="29"/>
    </row>
    <row r="906" ht="18.75" customHeight="1">
      <c r="A906" s="37"/>
      <c r="B906" s="38"/>
      <c r="C906" s="29"/>
      <c r="D906" s="39"/>
      <c r="E906" s="29"/>
      <c r="F906" s="40"/>
      <c r="G906" s="40"/>
      <c r="H906" s="40"/>
      <c r="I906" s="29"/>
      <c r="J906" s="29"/>
      <c r="K906" s="29"/>
      <c r="L906" s="29"/>
      <c r="M906" s="29"/>
      <c r="N906" s="29"/>
      <c r="O906" s="29"/>
      <c r="P906" s="29"/>
      <c r="Q906" s="29"/>
      <c r="R906" s="29"/>
      <c r="S906" s="29"/>
      <c r="T906" s="29"/>
      <c r="U906" s="29"/>
      <c r="V906" s="29"/>
      <c r="W906" s="29"/>
      <c r="X906" s="29"/>
      <c r="Y906" s="29"/>
      <c r="Z906" s="29"/>
    </row>
    <row r="907" ht="18.75" customHeight="1">
      <c r="A907" s="37"/>
      <c r="B907" s="38"/>
      <c r="C907" s="29"/>
      <c r="D907" s="39"/>
      <c r="E907" s="29"/>
      <c r="F907" s="40"/>
      <c r="G907" s="40"/>
      <c r="H907" s="40"/>
      <c r="I907" s="29"/>
      <c r="J907" s="29"/>
      <c r="K907" s="29"/>
      <c r="L907" s="29"/>
      <c r="M907" s="29"/>
      <c r="N907" s="29"/>
      <c r="O907" s="29"/>
      <c r="P907" s="29"/>
      <c r="Q907" s="29"/>
      <c r="R907" s="29"/>
      <c r="S907" s="29"/>
      <c r="T907" s="29"/>
      <c r="U907" s="29"/>
      <c r="V907" s="29"/>
      <c r="W907" s="29"/>
      <c r="X907" s="29"/>
      <c r="Y907" s="29"/>
      <c r="Z907" s="29"/>
    </row>
    <row r="908" ht="18.75" customHeight="1">
      <c r="A908" s="37"/>
      <c r="B908" s="38"/>
      <c r="C908" s="29"/>
      <c r="D908" s="39"/>
      <c r="E908" s="29"/>
      <c r="F908" s="40"/>
      <c r="G908" s="40"/>
      <c r="H908" s="40"/>
      <c r="I908" s="29"/>
      <c r="J908" s="29"/>
      <c r="K908" s="29"/>
      <c r="L908" s="29"/>
      <c r="M908" s="29"/>
      <c r="N908" s="29"/>
      <c r="O908" s="29"/>
      <c r="P908" s="29"/>
      <c r="Q908" s="29"/>
      <c r="R908" s="29"/>
      <c r="S908" s="29"/>
      <c r="T908" s="29"/>
      <c r="U908" s="29"/>
      <c r="V908" s="29"/>
      <c r="W908" s="29"/>
      <c r="X908" s="29"/>
      <c r="Y908" s="29"/>
      <c r="Z908" s="29"/>
    </row>
    <row r="909" ht="18.75" customHeight="1">
      <c r="A909" s="37"/>
      <c r="B909" s="38"/>
      <c r="C909" s="29"/>
      <c r="D909" s="39"/>
      <c r="E909" s="29"/>
      <c r="F909" s="40"/>
      <c r="G909" s="40"/>
      <c r="H909" s="40"/>
      <c r="I909" s="29"/>
      <c r="J909" s="29"/>
      <c r="K909" s="29"/>
      <c r="L909" s="29"/>
      <c r="M909" s="29"/>
      <c r="N909" s="29"/>
      <c r="O909" s="29"/>
      <c r="P909" s="29"/>
      <c r="Q909" s="29"/>
      <c r="R909" s="29"/>
      <c r="S909" s="29"/>
      <c r="T909" s="29"/>
      <c r="U909" s="29"/>
      <c r="V909" s="29"/>
      <c r="W909" s="29"/>
      <c r="X909" s="29"/>
      <c r="Y909" s="29"/>
      <c r="Z909" s="29"/>
    </row>
    <row r="910" ht="18.75" customHeight="1">
      <c r="A910" s="37"/>
      <c r="B910" s="38"/>
      <c r="C910" s="29"/>
      <c r="D910" s="39"/>
      <c r="E910" s="29"/>
      <c r="F910" s="40"/>
      <c r="G910" s="40"/>
      <c r="H910" s="40"/>
      <c r="I910" s="29"/>
      <c r="J910" s="29"/>
      <c r="K910" s="29"/>
      <c r="L910" s="29"/>
      <c r="M910" s="29"/>
      <c r="N910" s="29"/>
      <c r="O910" s="29"/>
      <c r="P910" s="29"/>
      <c r="Q910" s="29"/>
      <c r="R910" s="29"/>
      <c r="S910" s="29"/>
      <c r="T910" s="29"/>
      <c r="U910" s="29"/>
      <c r="V910" s="29"/>
      <c r="W910" s="29"/>
      <c r="X910" s="29"/>
      <c r="Y910" s="29"/>
      <c r="Z910" s="29"/>
    </row>
    <row r="911" ht="18.75" customHeight="1">
      <c r="A911" s="37"/>
      <c r="B911" s="38"/>
      <c r="C911" s="29"/>
      <c r="D911" s="39"/>
      <c r="E911" s="29"/>
      <c r="F911" s="40"/>
      <c r="G911" s="40"/>
      <c r="H911" s="40"/>
      <c r="I911" s="29"/>
      <c r="J911" s="29"/>
      <c r="K911" s="29"/>
      <c r="L911" s="29"/>
      <c r="M911" s="29"/>
      <c r="N911" s="29"/>
      <c r="O911" s="29"/>
      <c r="P911" s="29"/>
      <c r="Q911" s="29"/>
      <c r="R911" s="29"/>
      <c r="S911" s="29"/>
      <c r="T911" s="29"/>
      <c r="U911" s="29"/>
      <c r="V911" s="29"/>
      <c r="W911" s="29"/>
      <c r="X911" s="29"/>
      <c r="Y911" s="29"/>
      <c r="Z911" s="29"/>
    </row>
    <row r="912" ht="18.75" customHeight="1">
      <c r="A912" s="37"/>
      <c r="B912" s="38"/>
      <c r="C912" s="29"/>
      <c r="D912" s="39"/>
      <c r="E912" s="29"/>
      <c r="F912" s="40"/>
      <c r="G912" s="40"/>
      <c r="H912" s="40"/>
      <c r="I912" s="29"/>
      <c r="J912" s="29"/>
      <c r="K912" s="29"/>
      <c r="L912" s="29"/>
      <c r="M912" s="29"/>
      <c r="N912" s="29"/>
      <c r="O912" s="29"/>
      <c r="P912" s="29"/>
      <c r="Q912" s="29"/>
      <c r="R912" s="29"/>
      <c r="S912" s="29"/>
      <c r="T912" s="29"/>
      <c r="U912" s="29"/>
      <c r="V912" s="29"/>
      <c r="W912" s="29"/>
      <c r="X912" s="29"/>
      <c r="Y912" s="29"/>
      <c r="Z912" s="29"/>
    </row>
    <row r="913" ht="18.75" customHeight="1">
      <c r="A913" s="37"/>
      <c r="B913" s="38"/>
      <c r="C913" s="29"/>
      <c r="D913" s="39"/>
      <c r="E913" s="29"/>
      <c r="F913" s="40"/>
      <c r="G913" s="40"/>
      <c r="H913" s="40"/>
      <c r="I913" s="29"/>
      <c r="J913" s="29"/>
      <c r="K913" s="29"/>
      <c r="L913" s="29"/>
      <c r="M913" s="29"/>
      <c r="N913" s="29"/>
      <c r="O913" s="29"/>
      <c r="P913" s="29"/>
      <c r="Q913" s="29"/>
      <c r="R913" s="29"/>
      <c r="S913" s="29"/>
      <c r="T913" s="29"/>
      <c r="U913" s="29"/>
      <c r="V913" s="29"/>
      <c r="W913" s="29"/>
      <c r="X913" s="29"/>
      <c r="Y913" s="29"/>
      <c r="Z913" s="29"/>
    </row>
    <row r="914" ht="18.75" customHeight="1">
      <c r="A914" s="37"/>
      <c r="B914" s="38"/>
      <c r="C914" s="29"/>
      <c r="D914" s="39"/>
      <c r="E914" s="29"/>
      <c r="F914" s="40"/>
      <c r="G914" s="40"/>
      <c r="H914" s="40"/>
      <c r="I914" s="29"/>
      <c r="J914" s="29"/>
      <c r="K914" s="29"/>
      <c r="L914" s="29"/>
      <c r="M914" s="29"/>
      <c r="N914" s="29"/>
      <c r="O914" s="29"/>
      <c r="P914" s="29"/>
      <c r="Q914" s="29"/>
      <c r="R914" s="29"/>
      <c r="S914" s="29"/>
      <c r="T914" s="29"/>
      <c r="U914" s="29"/>
      <c r="V914" s="29"/>
      <c r="W914" s="29"/>
      <c r="X914" s="29"/>
      <c r="Y914" s="29"/>
      <c r="Z914" s="29"/>
    </row>
    <row r="915" ht="18.75" customHeight="1">
      <c r="A915" s="37"/>
      <c r="B915" s="38"/>
      <c r="C915" s="29"/>
      <c r="D915" s="39"/>
      <c r="E915" s="29"/>
      <c r="F915" s="40"/>
      <c r="G915" s="40"/>
      <c r="H915" s="40"/>
      <c r="I915" s="29"/>
      <c r="J915" s="29"/>
      <c r="K915" s="29"/>
      <c r="L915" s="29"/>
      <c r="M915" s="29"/>
      <c r="N915" s="29"/>
      <c r="O915" s="29"/>
      <c r="P915" s="29"/>
      <c r="Q915" s="29"/>
      <c r="R915" s="29"/>
      <c r="S915" s="29"/>
      <c r="T915" s="29"/>
      <c r="U915" s="29"/>
      <c r="V915" s="29"/>
      <c r="W915" s="29"/>
      <c r="X915" s="29"/>
      <c r="Y915" s="29"/>
      <c r="Z915" s="29"/>
    </row>
    <row r="916" ht="18.75" customHeight="1">
      <c r="A916" s="37"/>
      <c r="B916" s="38"/>
      <c r="C916" s="29"/>
      <c r="D916" s="39"/>
      <c r="E916" s="29"/>
      <c r="F916" s="40"/>
      <c r="G916" s="40"/>
      <c r="H916" s="40"/>
      <c r="I916" s="29"/>
      <c r="J916" s="29"/>
      <c r="K916" s="29"/>
      <c r="L916" s="29"/>
      <c r="M916" s="29"/>
      <c r="N916" s="29"/>
      <c r="O916" s="29"/>
      <c r="P916" s="29"/>
      <c r="Q916" s="29"/>
      <c r="R916" s="29"/>
      <c r="S916" s="29"/>
      <c r="T916" s="29"/>
      <c r="U916" s="29"/>
      <c r="V916" s="29"/>
      <c r="W916" s="29"/>
      <c r="X916" s="29"/>
      <c r="Y916" s="29"/>
      <c r="Z916" s="29"/>
    </row>
    <row r="917" ht="18.75" customHeight="1">
      <c r="A917" s="37"/>
      <c r="B917" s="38"/>
      <c r="C917" s="29"/>
      <c r="D917" s="39"/>
      <c r="E917" s="29"/>
      <c r="F917" s="40"/>
      <c r="G917" s="40"/>
      <c r="H917" s="40"/>
      <c r="I917" s="29"/>
      <c r="J917" s="29"/>
      <c r="K917" s="29"/>
      <c r="L917" s="29"/>
      <c r="M917" s="29"/>
      <c r="N917" s="29"/>
      <c r="O917" s="29"/>
      <c r="P917" s="29"/>
      <c r="Q917" s="29"/>
      <c r="R917" s="29"/>
      <c r="S917" s="29"/>
      <c r="T917" s="29"/>
      <c r="U917" s="29"/>
      <c r="V917" s="29"/>
      <c r="W917" s="29"/>
      <c r="X917" s="29"/>
      <c r="Y917" s="29"/>
      <c r="Z917" s="29"/>
    </row>
    <row r="918" ht="18.75" customHeight="1">
      <c r="A918" s="37"/>
      <c r="B918" s="38"/>
      <c r="C918" s="29"/>
      <c r="D918" s="39"/>
      <c r="E918" s="29"/>
      <c r="F918" s="40"/>
      <c r="G918" s="40"/>
      <c r="H918" s="40"/>
      <c r="I918" s="29"/>
      <c r="J918" s="29"/>
      <c r="K918" s="29"/>
      <c r="L918" s="29"/>
      <c r="M918" s="29"/>
      <c r="N918" s="29"/>
      <c r="O918" s="29"/>
      <c r="P918" s="29"/>
      <c r="Q918" s="29"/>
      <c r="R918" s="29"/>
      <c r="S918" s="29"/>
      <c r="T918" s="29"/>
      <c r="U918" s="29"/>
      <c r="V918" s="29"/>
      <c r="W918" s="29"/>
      <c r="X918" s="29"/>
      <c r="Y918" s="29"/>
      <c r="Z918" s="29"/>
    </row>
    <row r="919" ht="18.75" customHeight="1">
      <c r="A919" s="37"/>
      <c r="B919" s="38"/>
      <c r="C919" s="29"/>
      <c r="D919" s="39"/>
      <c r="E919" s="29"/>
      <c r="F919" s="40"/>
      <c r="G919" s="40"/>
      <c r="H919" s="40"/>
      <c r="I919" s="29"/>
      <c r="J919" s="29"/>
      <c r="K919" s="29"/>
      <c r="L919" s="29"/>
      <c r="M919" s="29"/>
      <c r="N919" s="29"/>
      <c r="O919" s="29"/>
      <c r="P919" s="29"/>
      <c r="Q919" s="29"/>
      <c r="R919" s="29"/>
      <c r="S919" s="29"/>
      <c r="T919" s="29"/>
      <c r="U919" s="29"/>
      <c r="V919" s="29"/>
      <c r="W919" s="29"/>
      <c r="X919" s="29"/>
      <c r="Y919" s="29"/>
      <c r="Z919" s="29"/>
    </row>
    <row r="920" ht="18.75" customHeight="1">
      <c r="A920" s="37"/>
      <c r="B920" s="38"/>
      <c r="C920" s="29"/>
      <c r="D920" s="39"/>
      <c r="E920" s="29"/>
      <c r="F920" s="40"/>
      <c r="G920" s="40"/>
      <c r="H920" s="40"/>
      <c r="I920" s="29"/>
      <c r="J920" s="29"/>
      <c r="K920" s="29"/>
      <c r="L920" s="29"/>
      <c r="M920" s="29"/>
      <c r="N920" s="29"/>
      <c r="O920" s="29"/>
      <c r="P920" s="29"/>
      <c r="Q920" s="29"/>
      <c r="R920" s="29"/>
      <c r="S920" s="29"/>
      <c r="T920" s="29"/>
      <c r="U920" s="29"/>
      <c r="V920" s="29"/>
      <c r="W920" s="29"/>
      <c r="X920" s="29"/>
      <c r="Y920" s="29"/>
      <c r="Z920" s="29"/>
    </row>
    <row r="921" ht="18.75" customHeight="1">
      <c r="A921" s="37"/>
      <c r="B921" s="38"/>
      <c r="C921" s="29"/>
      <c r="D921" s="39"/>
      <c r="E921" s="29"/>
      <c r="F921" s="40"/>
      <c r="G921" s="40"/>
      <c r="H921" s="40"/>
      <c r="I921" s="29"/>
      <c r="J921" s="29"/>
      <c r="K921" s="29"/>
      <c r="L921" s="29"/>
      <c r="M921" s="29"/>
      <c r="N921" s="29"/>
      <c r="O921" s="29"/>
      <c r="P921" s="29"/>
      <c r="Q921" s="29"/>
      <c r="R921" s="29"/>
      <c r="S921" s="29"/>
      <c r="T921" s="29"/>
      <c r="U921" s="29"/>
      <c r="V921" s="29"/>
      <c r="W921" s="29"/>
      <c r="X921" s="29"/>
      <c r="Y921" s="29"/>
      <c r="Z921" s="29"/>
    </row>
    <row r="922" ht="18.75" customHeight="1">
      <c r="A922" s="37"/>
      <c r="B922" s="38"/>
      <c r="C922" s="29"/>
      <c r="D922" s="39"/>
      <c r="E922" s="29"/>
      <c r="F922" s="40"/>
      <c r="G922" s="40"/>
      <c r="H922" s="40"/>
      <c r="I922" s="29"/>
      <c r="J922" s="29"/>
      <c r="K922" s="29"/>
      <c r="L922" s="29"/>
      <c r="M922" s="29"/>
      <c r="N922" s="29"/>
      <c r="O922" s="29"/>
      <c r="P922" s="29"/>
      <c r="Q922" s="29"/>
      <c r="R922" s="29"/>
      <c r="S922" s="29"/>
      <c r="T922" s="29"/>
      <c r="U922" s="29"/>
      <c r="V922" s="29"/>
      <c r="W922" s="29"/>
      <c r="X922" s="29"/>
      <c r="Y922" s="29"/>
      <c r="Z922" s="29"/>
    </row>
    <row r="923" ht="18.75" customHeight="1">
      <c r="A923" s="37"/>
      <c r="B923" s="38"/>
      <c r="C923" s="29"/>
      <c r="D923" s="39"/>
      <c r="E923" s="29"/>
      <c r="F923" s="40"/>
      <c r="G923" s="40"/>
      <c r="H923" s="40"/>
      <c r="I923" s="29"/>
      <c r="J923" s="29"/>
      <c r="K923" s="29"/>
      <c r="L923" s="29"/>
      <c r="M923" s="29"/>
      <c r="N923" s="29"/>
      <c r="O923" s="29"/>
      <c r="P923" s="29"/>
      <c r="Q923" s="29"/>
      <c r="R923" s="29"/>
      <c r="S923" s="29"/>
      <c r="T923" s="29"/>
      <c r="U923" s="29"/>
      <c r="V923" s="29"/>
      <c r="W923" s="29"/>
      <c r="X923" s="29"/>
      <c r="Y923" s="29"/>
      <c r="Z923" s="29"/>
    </row>
    <row r="924" ht="18.75" customHeight="1">
      <c r="A924" s="37"/>
      <c r="B924" s="38"/>
      <c r="C924" s="29"/>
      <c r="D924" s="39"/>
      <c r="E924" s="29"/>
      <c r="F924" s="40"/>
      <c r="G924" s="40"/>
      <c r="H924" s="40"/>
      <c r="I924" s="29"/>
      <c r="J924" s="29"/>
      <c r="K924" s="29"/>
      <c r="L924" s="29"/>
      <c r="M924" s="29"/>
      <c r="N924" s="29"/>
      <c r="O924" s="29"/>
      <c r="P924" s="29"/>
      <c r="Q924" s="29"/>
      <c r="R924" s="29"/>
      <c r="S924" s="29"/>
      <c r="T924" s="29"/>
      <c r="U924" s="29"/>
      <c r="V924" s="29"/>
      <c r="W924" s="29"/>
      <c r="X924" s="29"/>
      <c r="Y924" s="29"/>
      <c r="Z924" s="29"/>
    </row>
    <row r="925" ht="18.75" customHeight="1">
      <c r="A925" s="37"/>
      <c r="B925" s="38"/>
      <c r="C925" s="29"/>
      <c r="D925" s="39"/>
      <c r="E925" s="29"/>
      <c r="F925" s="40"/>
      <c r="G925" s="40"/>
      <c r="H925" s="40"/>
      <c r="I925" s="29"/>
      <c r="J925" s="29"/>
      <c r="K925" s="29"/>
      <c r="L925" s="29"/>
      <c r="M925" s="29"/>
      <c r="N925" s="29"/>
      <c r="O925" s="29"/>
      <c r="P925" s="29"/>
      <c r="Q925" s="29"/>
      <c r="R925" s="29"/>
      <c r="S925" s="29"/>
      <c r="T925" s="29"/>
      <c r="U925" s="29"/>
      <c r="V925" s="29"/>
      <c r="W925" s="29"/>
      <c r="X925" s="29"/>
      <c r="Y925" s="29"/>
      <c r="Z925" s="29"/>
    </row>
    <row r="926" ht="18.75" customHeight="1">
      <c r="A926" s="37"/>
      <c r="B926" s="38"/>
      <c r="C926" s="29"/>
      <c r="D926" s="39"/>
      <c r="E926" s="29"/>
      <c r="F926" s="40"/>
      <c r="G926" s="40"/>
      <c r="H926" s="40"/>
      <c r="I926" s="29"/>
      <c r="J926" s="29"/>
      <c r="K926" s="29"/>
      <c r="L926" s="29"/>
      <c r="M926" s="29"/>
      <c r="N926" s="29"/>
      <c r="O926" s="29"/>
      <c r="P926" s="29"/>
      <c r="Q926" s="29"/>
      <c r="R926" s="29"/>
      <c r="S926" s="29"/>
      <c r="T926" s="29"/>
      <c r="U926" s="29"/>
      <c r="V926" s="29"/>
      <c r="W926" s="29"/>
      <c r="X926" s="29"/>
      <c r="Y926" s="29"/>
      <c r="Z926" s="29"/>
    </row>
    <row r="927" ht="18.75" customHeight="1">
      <c r="A927" s="37"/>
      <c r="B927" s="38"/>
      <c r="C927" s="29"/>
      <c r="D927" s="39"/>
      <c r="E927" s="29"/>
      <c r="F927" s="40"/>
      <c r="G927" s="40"/>
      <c r="H927" s="40"/>
      <c r="I927" s="29"/>
      <c r="J927" s="29"/>
      <c r="K927" s="29"/>
      <c r="L927" s="29"/>
      <c r="M927" s="29"/>
      <c r="N927" s="29"/>
      <c r="O927" s="29"/>
      <c r="P927" s="29"/>
      <c r="Q927" s="29"/>
      <c r="R927" s="29"/>
      <c r="S927" s="29"/>
      <c r="T927" s="29"/>
      <c r="U927" s="29"/>
      <c r="V927" s="29"/>
      <c r="W927" s="29"/>
      <c r="X927" s="29"/>
      <c r="Y927" s="29"/>
      <c r="Z927" s="29"/>
    </row>
    <row r="928" ht="18.75" customHeight="1">
      <c r="A928" s="37"/>
      <c r="B928" s="38"/>
      <c r="C928" s="29"/>
      <c r="D928" s="39"/>
      <c r="E928" s="29"/>
      <c r="F928" s="40"/>
      <c r="G928" s="40"/>
      <c r="H928" s="40"/>
      <c r="I928" s="29"/>
      <c r="J928" s="29"/>
      <c r="K928" s="29"/>
      <c r="L928" s="29"/>
      <c r="M928" s="29"/>
      <c r="N928" s="29"/>
      <c r="O928" s="29"/>
      <c r="P928" s="29"/>
      <c r="Q928" s="29"/>
      <c r="R928" s="29"/>
      <c r="S928" s="29"/>
      <c r="T928" s="29"/>
      <c r="U928" s="29"/>
      <c r="V928" s="29"/>
      <c r="W928" s="29"/>
      <c r="X928" s="29"/>
      <c r="Y928" s="29"/>
      <c r="Z928" s="29"/>
    </row>
    <row r="929" ht="18.75" customHeight="1">
      <c r="A929" s="37"/>
      <c r="B929" s="38"/>
      <c r="C929" s="29"/>
      <c r="D929" s="39"/>
      <c r="E929" s="29"/>
      <c r="F929" s="40"/>
      <c r="G929" s="40"/>
      <c r="H929" s="40"/>
      <c r="I929" s="29"/>
      <c r="J929" s="29"/>
      <c r="K929" s="29"/>
      <c r="L929" s="29"/>
      <c r="M929" s="29"/>
      <c r="N929" s="29"/>
      <c r="O929" s="29"/>
      <c r="P929" s="29"/>
      <c r="Q929" s="29"/>
      <c r="R929" s="29"/>
      <c r="S929" s="29"/>
      <c r="T929" s="29"/>
      <c r="U929" s="29"/>
      <c r="V929" s="29"/>
      <c r="W929" s="29"/>
      <c r="X929" s="29"/>
      <c r="Y929" s="29"/>
      <c r="Z929" s="29"/>
    </row>
    <row r="930" ht="18.75" customHeight="1">
      <c r="A930" s="37"/>
      <c r="B930" s="38"/>
      <c r="C930" s="29"/>
      <c r="D930" s="39"/>
      <c r="E930" s="29"/>
      <c r="F930" s="40"/>
      <c r="G930" s="40"/>
      <c r="H930" s="40"/>
      <c r="I930" s="29"/>
      <c r="J930" s="29"/>
      <c r="K930" s="29"/>
      <c r="L930" s="29"/>
      <c r="M930" s="29"/>
      <c r="N930" s="29"/>
      <c r="O930" s="29"/>
      <c r="P930" s="29"/>
      <c r="Q930" s="29"/>
      <c r="R930" s="29"/>
      <c r="S930" s="29"/>
      <c r="T930" s="29"/>
      <c r="U930" s="29"/>
      <c r="V930" s="29"/>
      <c r="W930" s="29"/>
      <c r="X930" s="29"/>
      <c r="Y930" s="29"/>
      <c r="Z930" s="29"/>
    </row>
    <row r="931" ht="18.75" customHeight="1">
      <c r="A931" s="37"/>
      <c r="B931" s="38"/>
      <c r="C931" s="29"/>
      <c r="D931" s="39"/>
      <c r="E931" s="29"/>
      <c r="F931" s="40"/>
      <c r="G931" s="40"/>
      <c r="H931" s="40"/>
      <c r="I931" s="29"/>
      <c r="J931" s="29"/>
      <c r="K931" s="29"/>
      <c r="L931" s="29"/>
      <c r="M931" s="29"/>
      <c r="N931" s="29"/>
      <c r="O931" s="29"/>
      <c r="P931" s="29"/>
      <c r="Q931" s="29"/>
      <c r="R931" s="29"/>
      <c r="S931" s="29"/>
      <c r="T931" s="29"/>
      <c r="U931" s="29"/>
      <c r="V931" s="29"/>
      <c r="W931" s="29"/>
      <c r="X931" s="29"/>
      <c r="Y931" s="29"/>
      <c r="Z931" s="29"/>
    </row>
    <row r="932" ht="18.75" customHeight="1">
      <c r="A932" s="37"/>
      <c r="B932" s="38"/>
      <c r="C932" s="29"/>
      <c r="D932" s="39"/>
      <c r="E932" s="29"/>
      <c r="F932" s="40"/>
      <c r="G932" s="40"/>
      <c r="H932" s="40"/>
      <c r="I932" s="29"/>
      <c r="J932" s="29"/>
      <c r="K932" s="29"/>
      <c r="L932" s="29"/>
      <c r="M932" s="29"/>
      <c r="N932" s="29"/>
      <c r="O932" s="29"/>
      <c r="P932" s="29"/>
      <c r="Q932" s="29"/>
      <c r="R932" s="29"/>
      <c r="S932" s="29"/>
      <c r="T932" s="29"/>
      <c r="U932" s="29"/>
      <c r="V932" s="29"/>
      <c r="W932" s="29"/>
      <c r="X932" s="29"/>
      <c r="Y932" s="29"/>
      <c r="Z932" s="29"/>
    </row>
    <row r="933" ht="18.75" customHeight="1">
      <c r="A933" s="37"/>
      <c r="B933" s="38"/>
      <c r="C933" s="29"/>
      <c r="D933" s="39"/>
      <c r="E933" s="29"/>
      <c r="F933" s="40"/>
      <c r="G933" s="40"/>
      <c r="H933" s="40"/>
      <c r="I933" s="29"/>
      <c r="J933" s="29"/>
      <c r="K933" s="29"/>
      <c r="L933" s="29"/>
      <c r="M933" s="29"/>
      <c r="N933" s="29"/>
      <c r="O933" s="29"/>
      <c r="P933" s="29"/>
      <c r="Q933" s="29"/>
      <c r="R933" s="29"/>
      <c r="S933" s="29"/>
      <c r="T933" s="29"/>
      <c r="U933" s="29"/>
      <c r="V933" s="29"/>
      <c r="W933" s="29"/>
      <c r="X933" s="29"/>
      <c r="Y933" s="29"/>
      <c r="Z933" s="29"/>
    </row>
    <row r="934" ht="18.75" customHeight="1">
      <c r="A934" s="37"/>
      <c r="B934" s="38"/>
      <c r="C934" s="29"/>
      <c r="D934" s="39"/>
      <c r="E934" s="29"/>
      <c r="F934" s="40"/>
      <c r="G934" s="40"/>
      <c r="H934" s="40"/>
      <c r="I934" s="29"/>
      <c r="J934" s="29"/>
      <c r="K934" s="29"/>
      <c r="L934" s="29"/>
      <c r="M934" s="29"/>
      <c r="N934" s="29"/>
      <c r="O934" s="29"/>
      <c r="P934" s="29"/>
      <c r="Q934" s="29"/>
      <c r="R934" s="29"/>
      <c r="S934" s="29"/>
      <c r="T934" s="29"/>
      <c r="U934" s="29"/>
      <c r="V934" s="29"/>
      <c r="W934" s="29"/>
      <c r="X934" s="29"/>
      <c r="Y934" s="29"/>
      <c r="Z934" s="29"/>
    </row>
    <row r="935" ht="18.75" customHeight="1">
      <c r="A935" s="37"/>
      <c r="B935" s="38"/>
      <c r="C935" s="29"/>
      <c r="D935" s="39"/>
      <c r="E935" s="29"/>
      <c r="F935" s="40"/>
      <c r="G935" s="40"/>
      <c r="H935" s="40"/>
      <c r="I935" s="29"/>
      <c r="J935" s="29"/>
      <c r="K935" s="29"/>
      <c r="L935" s="29"/>
      <c r="M935" s="29"/>
      <c r="N935" s="29"/>
      <c r="O935" s="29"/>
      <c r="P935" s="29"/>
      <c r="Q935" s="29"/>
      <c r="R935" s="29"/>
      <c r="S935" s="29"/>
      <c r="T935" s="29"/>
      <c r="U935" s="29"/>
      <c r="V935" s="29"/>
      <c r="W935" s="29"/>
      <c r="X935" s="29"/>
      <c r="Y935" s="29"/>
      <c r="Z935" s="29"/>
    </row>
    <row r="936" ht="18.75" customHeight="1">
      <c r="A936" s="37"/>
      <c r="B936" s="38"/>
      <c r="C936" s="29"/>
      <c r="D936" s="39"/>
      <c r="E936" s="29"/>
      <c r="F936" s="40"/>
      <c r="G936" s="40"/>
      <c r="H936" s="40"/>
      <c r="I936" s="29"/>
      <c r="J936" s="29"/>
      <c r="K936" s="29"/>
      <c r="L936" s="29"/>
      <c r="M936" s="29"/>
      <c r="N936" s="29"/>
      <c r="O936" s="29"/>
      <c r="P936" s="29"/>
      <c r="Q936" s="29"/>
      <c r="R936" s="29"/>
      <c r="S936" s="29"/>
      <c r="T936" s="29"/>
      <c r="U936" s="29"/>
      <c r="V936" s="29"/>
      <c r="W936" s="29"/>
      <c r="X936" s="29"/>
      <c r="Y936" s="29"/>
      <c r="Z936" s="29"/>
    </row>
    <row r="937" ht="18.75" customHeight="1">
      <c r="A937" s="37"/>
      <c r="B937" s="38"/>
      <c r="C937" s="29"/>
      <c r="D937" s="39"/>
      <c r="E937" s="29"/>
      <c r="F937" s="40"/>
      <c r="G937" s="40"/>
      <c r="H937" s="40"/>
      <c r="I937" s="29"/>
      <c r="J937" s="29"/>
      <c r="K937" s="29"/>
      <c r="L937" s="29"/>
      <c r="M937" s="29"/>
      <c r="N937" s="29"/>
      <c r="O937" s="29"/>
      <c r="P937" s="29"/>
      <c r="Q937" s="29"/>
      <c r="R937" s="29"/>
      <c r="S937" s="29"/>
      <c r="T937" s="29"/>
      <c r="U937" s="29"/>
      <c r="V937" s="29"/>
      <c r="W937" s="29"/>
      <c r="X937" s="29"/>
      <c r="Y937" s="29"/>
      <c r="Z937" s="29"/>
    </row>
    <row r="938" ht="18.75" customHeight="1">
      <c r="A938" s="37"/>
      <c r="B938" s="38"/>
      <c r="C938" s="29"/>
      <c r="D938" s="39"/>
      <c r="E938" s="29"/>
      <c r="F938" s="40"/>
      <c r="G938" s="40"/>
      <c r="H938" s="40"/>
      <c r="I938" s="29"/>
      <c r="J938" s="29"/>
      <c r="K938" s="29"/>
      <c r="L938" s="29"/>
      <c r="M938" s="29"/>
      <c r="N938" s="29"/>
      <c r="O938" s="29"/>
      <c r="P938" s="29"/>
      <c r="Q938" s="29"/>
      <c r="R938" s="29"/>
      <c r="S938" s="29"/>
      <c r="T938" s="29"/>
      <c r="U938" s="29"/>
      <c r="V938" s="29"/>
      <c r="W938" s="29"/>
      <c r="X938" s="29"/>
      <c r="Y938" s="29"/>
      <c r="Z938" s="29"/>
    </row>
    <row r="939" ht="18.75" customHeight="1">
      <c r="A939" s="37"/>
      <c r="B939" s="38"/>
      <c r="C939" s="29"/>
      <c r="D939" s="39"/>
      <c r="E939" s="29"/>
      <c r="F939" s="40"/>
      <c r="G939" s="40"/>
      <c r="H939" s="40"/>
      <c r="I939" s="29"/>
      <c r="J939" s="29"/>
      <c r="K939" s="29"/>
      <c r="L939" s="29"/>
      <c r="M939" s="29"/>
      <c r="N939" s="29"/>
      <c r="O939" s="29"/>
      <c r="P939" s="29"/>
      <c r="Q939" s="29"/>
      <c r="R939" s="29"/>
      <c r="S939" s="29"/>
      <c r="T939" s="29"/>
      <c r="U939" s="29"/>
      <c r="V939" s="29"/>
      <c r="W939" s="29"/>
      <c r="X939" s="29"/>
      <c r="Y939" s="29"/>
      <c r="Z939" s="29"/>
    </row>
    <row r="940" ht="18.75" customHeight="1">
      <c r="A940" s="37"/>
      <c r="B940" s="38"/>
      <c r="C940" s="29"/>
      <c r="D940" s="39"/>
      <c r="E940" s="29"/>
      <c r="F940" s="40"/>
      <c r="G940" s="40"/>
      <c r="H940" s="40"/>
      <c r="I940" s="29"/>
      <c r="J940" s="29"/>
      <c r="K940" s="29"/>
      <c r="L940" s="29"/>
      <c r="M940" s="29"/>
      <c r="N940" s="29"/>
      <c r="O940" s="29"/>
      <c r="P940" s="29"/>
      <c r="Q940" s="29"/>
      <c r="R940" s="29"/>
      <c r="S940" s="29"/>
      <c r="T940" s="29"/>
      <c r="U940" s="29"/>
      <c r="V940" s="29"/>
      <c r="W940" s="29"/>
      <c r="X940" s="29"/>
      <c r="Y940" s="29"/>
      <c r="Z940" s="29"/>
    </row>
    <row r="941" ht="18.75" customHeight="1">
      <c r="A941" s="37"/>
      <c r="B941" s="38"/>
      <c r="C941" s="29"/>
      <c r="D941" s="39"/>
      <c r="E941" s="29"/>
      <c r="F941" s="40"/>
      <c r="G941" s="40"/>
      <c r="H941" s="40"/>
      <c r="I941" s="29"/>
      <c r="J941" s="29"/>
      <c r="K941" s="29"/>
      <c r="L941" s="29"/>
      <c r="M941" s="29"/>
      <c r="N941" s="29"/>
      <c r="O941" s="29"/>
      <c r="P941" s="29"/>
      <c r="Q941" s="29"/>
      <c r="R941" s="29"/>
      <c r="S941" s="29"/>
      <c r="T941" s="29"/>
      <c r="U941" s="29"/>
      <c r="V941" s="29"/>
      <c r="W941" s="29"/>
      <c r="X941" s="29"/>
      <c r="Y941" s="29"/>
      <c r="Z941" s="29"/>
    </row>
    <row r="942" ht="18.75" customHeight="1">
      <c r="A942" s="37"/>
      <c r="B942" s="38"/>
      <c r="C942" s="29"/>
      <c r="D942" s="39"/>
      <c r="E942" s="29"/>
      <c r="F942" s="40"/>
      <c r="G942" s="40"/>
      <c r="H942" s="40"/>
      <c r="I942" s="29"/>
      <c r="J942" s="29"/>
      <c r="K942" s="29"/>
      <c r="L942" s="29"/>
      <c r="M942" s="29"/>
      <c r="N942" s="29"/>
      <c r="O942" s="29"/>
      <c r="P942" s="29"/>
      <c r="Q942" s="29"/>
      <c r="R942" s="29"/>
      <c r="S942" s="29"/>
      <c r="T942" s="29"/>
      <c r="U942" s="29"/>
      <c r="V942" s="29"/>
      <c r="W942" s="29"/>
      <c r="X942" s="29"/>
      <c r="Y942" s="29"/>
      <c r="Z942" s="29"/>
    </row>
    <row r="943" ht="18.75" customHeight="1">
      <c r="A943" s="37"/>
      <c r="B943" s="38"/>
      <c r="C943" s="29"/>
      <c r="D943" s="39"/>
      <c r="E943" s="29"/>
      <c r="F943" s="40"/>
      <c r="G943" s="40"/>
      <c r="H943" s="40"/>
      <c r="I943" s="29"/>
      <c r="J943" s="29"/>
      <c r="K943" s="29"/>
      <c r="L943" s="29"/>
      <c r="M943" s="29"/>
      <c r="N943" s="29"/>
      <c r="O943" s="29"/>
      <c r="P943" s="29"/>
      <c r="Q943" s="29"/>
      <c r="R943" s="29"/>
      <c r="S943" s="29"/>
      <c r="T943" s="29"/>
      <c r="U943" s="29"/>
      <c r="V943" s="29"/>
      <c r="W943" s="29"/>
      <c r="X943" s="29"/>
      <c r="Y943" s="29"/>
      <c r="Z943" s="29"/>
    </row>
    <row r="944" ht="18.75" customHeight="1">
      <c r="A944" s="37"/>
      <c r="B944" s="38"/>
      <c r="C944" s="29"/>
      <c r="D944" s="39"/>
      <c r="E944" s="29"/>
      <c r="F944" s="40"/>
      <c r="G944" s="40"/>
      <c r="H944" s="40"/>
      <c r="I944" s="29"/>
      <c r="J944" s="29"/>
      <c r="K944" s="29"/>
      <c r="L944" s="29"/>
      <c r="M944" s="29"/>
      <c r="N944" s="29"/>
      <c r="O944" s="29"/>
      <c r="P944" s="29"/>
      <c r="Q944" s="29"/>
      <c r="R944" s="29"/>
      <c r="S944" s="29"/>
      <c r="T944" s="29"/>
      <c r="U944" s="29"/>
      <c r="V944" s="29"/>
      <c r="W944" s="29"/>
      <c r="X944" s="29"/>
      <c r="Y944" s="29"/>
      <c r="Z944" s="29"/>
    </row>
    <row r="945" ht="18.75" customHeight="1">
      <c r="A945" s="37"/>
      <c r="B945" s="38"/>
      <c r="C945" s="29"/>
      <c r="D945" s="39"/>
      <c r="E945" s="29"/>
      <c r="F945" s="40"/>
      <c r="G945" s="40"/>
      <c r="H945" s="40"/>
      <c r="I945" s="29"/>
      <c r="J945" s="29"/>
      <c r="K945" s="29"/>
      <c r="L945" s="29"/>
      <c r="M945" s="29"/>
      <c r="N945" s="29"/>
      <c r="O945" s="29"/>
      <c r="P945" s="29"/>
      <c r="Q945" s="29"/>
      <c r="R945" s="29"/>
      <c r="S945" s="29"/>
      <c r="T945" s="29"/>
      <c r="U945" s="29"/>
      <c r="V945" s="29"/>
      <c r="W945" s="29"/>
      <c r="X945" s="29"/>
      <c r="Y945" s="29"/>
      <c r="Z945" s="29"/>
    </row>
    <row r="946" ht="18.75" customHeight="1">
      <c r="A946" s="37"/>
      <c r="B946" s="38"/>
      <c r="C946" s="29"/>
      <c r="D946" s="39"/>
      <c r="E946" s="29"/>
      <c r="F946" s="40"/>
      <c r="G946" s="40"/>
      <c r="H946" s="40"/>
      <c r="I946" s="29"/>
      <c r="J946" s="29"/>
      <c r="K946" s="29"/>
      <c r="L946" s="29"/>
      <c r="M946" s="29"/>
      <c r="N946" s="29"/>
      <c r="O946" s="29"/>
      <c r="P946" s="29"/>
      <c r="Q946" s="29"/>
      <c r="R946" s="29"/>
      <c r="S946" s="29"/>
      <c r="T946" s="29"/>
      <c r="U946" s="29"/>
      <c r="V946" s="29"/>
      <c r="W946" s="29"/>
      <c r="X946" s="29"/>
      <c r="Y946" s="29"/>
      <c r="Z946" s="29"/>
    </row>
    <row r="947" ht="18.75" customHeight="1">
      <c r="A947" s="37"/>
      <c r="B947" s="38"/>
      <c r="C947" s="29"/>
      <c r="D947" s="39"/>
      <c r="E947" s="29"/>
      <c r="F947" s="40"/>
      <c r="G947" s="40"/>
      <c r="H947" s="40"/>
      <c r="I947" s="29"/>
      <c r="J947" s="29"/>
      <c r="K947" s="29"/>
      <c r="L947" s="29"/>
      <c r="M947" s="29"/>
      <c r="N947" s="29"/>
      <c r="O947" s="29"/>
      <c r="P947" s="29"/>
      <c r="Q947" s="29"/>
      <c r="R947" s="29"/>
      <c r="S947" s="29"/>
      <c r="T947" s="29"/>
      <c r="U947" s="29"/>
      <c r="V947" s="29"/>
      <c r="W947" s="29"/>
      <c r="X947" s="29"/>
      <c r="Y947" s="29"/>
      <c r="Z947" s="29"/>
    </row>
    <row r="948" ht="18.75" customHeight="1">
      <c r="A948" s="37"/>
      <c r="B948" s="38"/>
      <c r="C948" s="29"/>
      <c r="D948" s="39"/>
      <c r="E948" s="29"/>
      <c r="F948" s="40"/>
      <c r="G948" s="40"/>
      <c r="H948" s="40"/>
      <c r="I948" s="29"/>
      <c r="J948" s="29"/>
      <c r="K948" s="29"/>
      <c r="L948" s="29"/>
      <c r="M948" s="29"/>
      <c r="N948" s="29"/>
      <c r="O948" s="29"/>
      <c r="P948" s="29"/>
      <c r="Q948" s="29"/>
      <c r="R948" s="29"/>
      <c r="S948" s="29"/>
      <c r="T948" s="29"/>
      <c r="U948" s="29"/>
      <c r="V948" s="29"/>
      <c r="W948" s="29"/>
      <c r="X948" s="29"/>
      <c r="Y948" s="29"/>
      <c r="Z948" s="29"/>
    </row>
    <row r="949" ht="18.75" customHeight="1">
      <c r="A949" s="37"/>
      <c r="B949" s="38"/>
      <c r="C949" s="29"/>
      <c r="D949" s="39"/>
      <c r="E949" s="29"/>
      <c r="F949" s="40"/>
      <c r="G949" s="40"/>
      <c r="H949" s="40"/>
      <c r="I949" s="29"/>
      <c r="J949" s="29"/>
      <c r="K949" s="29"/>
      <c r="L949" s="29"/>
      <c r="M949" s="29"/>
      <c r="N949" s="29"/>
      <c r="O949" s="29"/>
      <c r="P949" s="29"/>
      <c r="Q949" s="29"/>
      <c r="R949" s="29"/>
      <c r="S949" s="29"/>
      <c r="T949" s="29"/>
      <c r="U949" s="29"/>
      <c r="V949" s="29"/>
      <c r="W949" s="29"/>
      <c r="X949" s="29"/>
      <c r="Y949" s="29"/>
      <c r="Z949" s="29"/>
    </row>
    <row r="950" ht="18.75" customHeight="1">
      <c r="A950" s="37"/>
      <c r="B950" s="38"/>
      <c r="C950" s="29"/>
      <c r="D950" s="39"/>
      <c r="E950" s="29"/>
      <c r="F950" s="40"/>
      <c r="G950" s="40"/>
      <c r="H950" s="40"/>
      <c r="I950" s="29"/>
      <c r="J950" s="29"/>
      <c r="K950" s="29"/>
      <c r="L950" s="29"/>
      <c r="M950" s="29"/>
      <c r="N950" s="29"/>
      <c r="O950" s="29"/>
      <c r="P950" s="29"/>
      <c r="Q950" s="29"/>
      <c r="R950" s="29"/>
      <c r="S950" s="29"/>
      <c r="T950" s="29"/>
      <c r="U950" s="29"/>
      <c r="V950" s="29"/>
      <c r="W950" s="29"/>
      <c r="X950" s="29"/>
      <c r="Y950" s="29"/>
      <c r="Z950" s="29"/>
    </row>
    <row r="951" ht="18.75" customHeight="1">
      <c r="A951" s="37"/>
      <c r="B951" s="38"/>
      <c r="C951" s="29"/>
      <c r="D951" s="39"/>
      <c r="E951" s="29"/>
      <c r="F951" s="40"/>
      <c r="G951" s="40"/>
      <c r="H951" s="40"/>
      <c r="I951" s="29"/>
      <c r="J951" s="29"/>
      <c r="K951" s="29"/>
      <c r="L951" s="29"/>
      <c r="M951" s="29"/>
      <c r="N951" s="29"/>
      <c r="O951" s="29"/>
      <c r="P951" s="29"/>
      <c r="Q951" s="29"/>
      <c r="R951" s="29"/>
      <c r="S951" s="29"/>
      <c r="T951" s="29"/>
      <c r="U951" s="29"/>
      <c r="V951" s="29"/>
      <c r="W951" s="29"/>
      <c r="X951" s="29"/>
      <c r="Y951" s="29"/>
      <c r="Z951" s="29"/>
    </row>
    <row r="952" ht="18.75" customHeight="1">
      <c r="A952" s="37"/>
      <c r="B952" s="38"/>
      <c r="C952" s="29"/>
      <c r="D952" s="39"/>
      <c r="E952" s="29"/>
      <c r="F952" s="40"/>
      <c r="G952" s="40"/>
      <c r="H952" s="40"/>
      <c r="I952" s="29"/>
      <c r="J952" s="29"/>
      <c r="K952" s="29"/>
      <c r="L952" s="29"/>
      <c r="M952" s="29"/>
      <c r="N952" s="29"/>
      <c r="O952" s="29"/>
      <c r="P952" s="29"/>
      <c r="Q952" s="29"/>
      <c r="R952" s="29"/>
      <c r="S952" s="29"/>
      <c r="T952" s="29"/>
      <c r="U952" s="29"/>
      <c r="V952" s="29"/>
      <c r="W952" s="29"/>
      <c r="X952" s="29"/>
      <c r="Y952" s="29"/>
      <c r="Z952" s="29"/>
    </row>
    <row r="953" ht="18.75" customHeight="1">
      <c r="A953" s="37"/>
      <c r="B953" s="38"/>
      <c r="C953" s="29"/>
      <c r="D953" s="39"/>
      <c r="E953" s="29"/>
      <c r="F953" s="40"/>
      <c r="G953" s="40"/>
      <c r="H953" s="40"/>
      <c r="I953" s="29"/>
      <c r="J953" s="29"/>
      <c r="K953" s="29"/>
      <c r="L953" s="29"/>
      <c r="M953" s="29"/>
      <c r="N953" s="29"/>
      <c r="O953" s="29"/>
      <c r="P953" s="29"/>
      <c r="Q953" s="29"/>
      <c r="R953" s="29"/>
      <c r="S953" s="29"/>
      <c r="T953" s="29"/>
      <c r="U953" s="29"/>
      <c r="V953" s="29"/>
      <c r="W953" s="29"/>
      <c r="X953" s="29"/>
      <c r="Y953" s="29"/>
      <c r="Z953" s="29"/>
    </row>
    <row r="954" ht="18.75" customHeight="1">
      <c r="A954" s="37"/>
      <c r="B954" s="38"/>
      <c r="C954" s="29"/>
      <c r="D954" s="39"/>
      <c r="E954" s="29"/>
      <c r="F954" s="40"/>
      <c r="G954" s="40"/>
      <c r="H954" s="40"/>
      <c r="I954" s="29"/>
      <c r="J954" s="29"/>
      <c r="K954" s="29"/>
      <c r="L954" s="29"/>
      <c r="M954" s="29"/>
      <c r="N954" s="29"/>
      <c r="O954" s="29"/>
      <c r="P954" s="29"/>
      <c r="Q954" s="29"/>
      <c r="R954" s="29"/>
      <c r="S954" s="29"/>
      <c r="T954" s="29"/>
      <c r="U954" s="29"/>
      <c r="V954" s="29"/>
      <c r="W954" s="29"/>
      <c r="X954" s="29"/>
      <c r="Y954" s="29"/>
      <c r="Z954" s="29"/>
    </row>
    <row r="955" ht="18.75" customHeight="1">
      <c r="A955" s="37"/>
      <c r="B955" s="38"/>
      <c r="C955" s="29"/>
      <c r="D955" s="39"/>
      <c r="E955" s="29"/>
      <c r="F955" s="40"/>
      <c r="G955" s="40"/>
      <c r="H955" s="40"/>
      <c r="I955" s="29"/>
      <c r="J955" s="29"/>
      <c r="K955" s="29"/>
      <c r="L955" s="29"/>
      <c r="M955" s="29"/>
      <c r="N955" s="29"/>
      <c r="O955" s="29"/>
      <c r="P955" s="29"/>
      <c r="Q955" s="29"/>
      <c r="R955" s="29"/>
      <c r="S955" s="29"/>
      <c r="T955" s="29"/>
      <c r="U955" s="29"/>
      <c r="V955" s="29"/>
      <c r="W955" s="29"/>
      <c r="X955" s="29"/>
      <c r="Y955" s="29"/>
      <c r="Z955" s="29"/>
    </row>
    <row r="956" ht="18.75" customHeight="1">
      <c r="A956" s="37"/>
      <c r="B956" s="38"/>
      <c r="C956" s="29"/>
      <c r="D956" s="39"/>
      <c r="E956" s="29"/>
      <c r="F956" s="40"/>
      <c r="G956" s="40"/>
      <c r="H956" s="40"/>
      <c r="I956" s="29"/>
      <c r="J956" s="29"/>
      <c r="K956" s="29"/>
      <c r="L956" s="29"/>
      <c r="M956" s="29"/>
      <c r="N956" s="29"/>
      <c r="O956" s="29"/>
      <c r="P956" s="29"/>
      <c r="Q956" s="29"/>
      <c r="R956" s="29"/>
      <c r="S956" s="29"/>
      <c r="T956" s="29"/>
      <c r="U956" s="29"/>
      <c r="V956" s="29"/>
      <c r="W956" s="29"/>
      <c r="X956" s="29"/>
      <c r="Y956" s="29"/>
      <c r="Z956" s="29"/>
    </row>
    <row r="957" ht="18.75" customHeight="1">
      <c r="A957" s="37"/>
      <c r="B957" s="38"/>
      <c r="C957" s="29"/>
      <c r="D957" s="39"/>
      <c r="E957" s="29"/>
      <c r="F957" s="40"/>
      <c r="G957" s="40"/>
      <c r="H957" s="40"/>
      <c r="I957" s="29"/>
      <c r="J957" s="29"/>
      <c r="K957" s="29"/>
      <c r="L957" s="29"/>
      <c r="M957" s="29"/>
      <c r="N957" s="29"/>
      <c r="O957" s="29"/>
      <c r="P957" s="29"/>
      <c r="Q957" s="29"/>
      <c r="R957" s="29"/>
      <c r="S957" s="29"/>
      <c r="T957" s="29"/>
      <c r="U957" s="29"/>
      <c r="V957" s="29"/>
      <c r="W957" s="29"/>
      <c r="X957" s="29"/>
      <c r="Y957" s="29"/>
      <c r="Z957" s="29"/>
    </row>
    <row r="958" ht="18.75" customHeight="1">
      <c r="A958" s="37"/>
      <c r="B958" s="38"/>
      <c r="C958" s="29"/>
      <c r="D958" s="39"/>
      <c r="E958" s="29"/>
      <c r="F958" s="40"/>
      <c r="G958" s="40"/>
      <c r="H958" s="40"/>
      <c r="I958" s="29"/>
      <c r="J958" s="29"/>
      <c r="K958" s="29"/>
      <c r="L958" s="29"/>
      <c r="M958" s="29"/>
      <c r="N958" s="29"/>
      <c r="O958" s="29"/>
      <c r="P958" s="29"/>
      <c r="Q958" s="29"/>
      <c r="R958" s="29"/>
      <c r="S958" s="29"/>
      <c r="T958" s="29"/>
      <c r="U958" s="29"/>
      <c r="V958" s="29"/>
      <c r="W958" s="29"/>
      <c r="X958" s="29"/>
      <c r="Y958" s="29"/>
      <c r="Z958" s="29"/>
    </row>
    <row r="959" ht="18.75" customHeight="1">
      <c r="A959" s="37"/>
      <c r="B959" s="38"/>
      <c r="C959" s="29"/>
      <c r="D959" s="39"/>
      <c r="E959" s="29"/>
      <c r="F959" s="40"/>
      <c r="G959" s="40"/>
      <c r="H959" s="40"/>
      <c r="I959" s="29"/>
      <c r="J959" s="29"/>
      <c r="K959" s="29"/>
      <c r="L959" s="29"/>
      <c r="M959" s="29"/>
      <c r="N959" s="29"/>
      <c r="O959" s="29"/>
      <c r="P959" s="29"/>
      <c r="Q959" s="29"/>
      <c r="R959" s="29"/>
      <c r="S959" s="29"/>
      <c r="T959" s="29"/>
      <c r="U959" s="29"/>
      <c r="V959" s="29"/>
      <c r="W959" s="29"/>
      <c r="X959" s="29"/>
      <c r="Y959" s="29"/>
      <c r="Z959" s="29"/>
    </row>
    <row r="960" ht="18.75" customHeight="1">
      <c r="A960" s="37"/>
      <c r="B960" s="38"/>
      <c r="C960" s="29"/>
      <c r="D960" s="39"/>
      <c r="E960" s="29"/>
      <c r="F960" s="40"/>
      <c r="G960" s="40"/>
      <c r="H960" s="40"/>
      <c r="I960" s="29"/>
      <c r="J960" s="29"/>
      <c r="K960" s="29"/>
      <c r="L960" s="29"/>
      <c r="M960" s="29"/>
      <c r="N960" s="29"/>
      <c r="O960" s="29"/>
      <c r="P960" s="29"/>
      <c r="Q960" s="29"/>
      <c r="R960" s="29"/>
      <c r="S960" s="29"/>
      <c r="T960" s="29"/>
      <c r="U960" s="29"/>
      <c r="V960" s="29"/>
      <c r="W960" s="29"/>
      <c r="X960" s="29"/>
      <c r="Y960" s="29"/>
      <c r="Z960" s="29"/>
    </row>
    <row r="961" ht="18.75" customHeight="1">
      <c r="A961" s="37"/>
      <c r="B961" s="38"/>
      <c r="C961" s="29"/>
      <c r="D961" s="39"/>
      <c r="E961" s="29"/>
      <c r="F961" s="40"/>
      <c r="G961" s="40"/>
      <c r="H961" s="40"/>
      <c r="I961" s="29"/>
      <c r="J961" s="29"/>
      <c r="K961" s="29"/>
      <c r="L961" s="29"/>
      <c r="M961" s="29"/>
      <c r="N961" s="29"/>
      <c r="O961" s="29"/>
      <c r="P961" s="29"/>
      <c r="Q961" s="29"/>
      <c r="R961" s="29"/>
      <c r="S961" s="29"/>
      <c r="T961" s="29"/>
      <c r="U961" s="29"/>
      <c r="V961" s="29"/>
      <c r="W961" s="29"/>
      <c r="X961" s="29"/>
      <c r="Y961" s="29"/>
      <c r="Z961" s="29"/>
    </row>
    <row r="962" ht="18.75" customHeight="1">
      <c r="A962" s="37"/>
      <c r="B962" s="38"/>
      <c r="C962" s="29"/>
      <c r="D962" s="39"/>
      <c r="E962" s="29"/>
      <c r="F962" s="40"/>
      <c r="G962" s="40"/>
      <c r="H962" s="40"/>
      <c r="I962" s="29"/>
      <c r="J962" s="29"/>
      <c r="K962" s="29"/>
      <c r="L962" s="29"/>
      <c r="M962" s="29"/>
      <c r="N962" s="29"/>
      <c r="O962" s="29"/>
      <c r="P962" s="29"/>
      <c r="Q962" s="29"/>
      <c r="R962" s="29"/>
      <c r="S962" s="29"/>
      <c r="T962" s="29"/>
      <c r="U962" s="29"/>
      <c r="V962" s="29"/>
      <c r="W962" s="29"/>
      <c r="X962" s="29"/>
      <c r="Y962" s="29"/>
      <c r="Z962" s="29"/>
    </row>
    <row r="963" ht="18.75" customHeight="1">
      <c r="A963" s="37"/>
      <c r="B963" s="38"/>
      <c r="C963" s="29"/>
      <c r="D963" s="39"/>
      <c r="E963" s="29"/>
      <c r="F963" s="40"/>
      <c r="G963" s="40"/>
      <c r="H963" s="40"/>
      <c r="I963" s="29"/>
      <c r="J963" s="29"/>
      <c r="K963" s="29"/>
      <c r="L963" s="29"/>
      <c r="M963" s="29"/>
      <c r="N963" s="29"/>
      <c r="O963" s="29"/>
      <c r="P963" s="29"/>
      <c r="Q963" s="29"/>
      <c r="R963" s="29"/>
      <c r="S963" s="29"/>
      <c r="T963" s="29"/>
      <c r="U963" s="29"/>
      <c r="V963" s="29"/>
      <c r="W963" s="29"/>
      <c r="X963" s="29"/>
      <c r="Y963" s="29"/>
      <c r="Z963" s="29"/>
    </row>
    <row r="964" ht="18.75" customHeight="1">
      <c r="A964" s="37"/>
      <c r="B964" s="38"/>
      <c r="C964" s="29"/>
      <c r="D964" s="39"/>
      <c r="E964" s="29"/>
      <c r="F964" s="40"/>
      <c r="G964" s="40"/>
      <c r="H964" s="40"/>
      <c r="I964" s="29"/>
      <c r="J964" s="29"/>
      <c r="K964" s="29"/>
      <c r="L964" s="29"/>
      <c r="M964" s="29"/>
      <c r="N964" s="29"/>
      <c r="O964" s="29"/>
      <c r="P964" s="29"/>
      <c r="Q964" s="29"/>
      <c r="R964" s="29"/>
      <c r="S964" s="29"/>
      <c r="T964" s="29"/>
      <c r="U964" s="29"/>
      <c r="V964" s="29"/>
      <c r="W964" s="29"/>
      <c r="X964" s="29"/>
      <c r="Y964" s="29"/>
      <c r="Z964" s="29"/>
    </row>
    <row r="965" ht="18.75" customHeight="1">
      <c r="A965" s="37"/>
      <c r="B965" s="38"/>
      <c r="C965" s="29"/>
      <c r="D965" s="39"/>
      <c r="E965" s="29"/>
      <c r="F965" s="40"/>
      <c r="G965" s="40"/>
      <c r="H965" s="40"/>
      <c r="I965" s="29"/>
      <c r="J965" s="29"/>
      <c r="K965" s="29"/>
      <c r="L965" s="29"/>
      <c r="M965" s="29"/>
      <c r="N965" s="29"/>
      <c r="O965" s="29"/>
      <c r="P965" s="29"/>
      <c r="Q965" s="29"/>
      <c r="R965" s="29"/>
      <c r="S965" s="29"/>
      <c r="T965" s="29"/>
      <c r="U965" s="29"/>
      <c r="V965" s="29"/>
      <c r="W965" s="29"/>
      <c r="X965" s="29"/>
      <c r="Y965" s="29"/>
      <c r="Z965" s="29"/>
    </row>
    <row r="966" ht="18.75" customHeight="1">
      <c r="A966" s="37"/>
      <c r="B966" s="38"/>
      <c r="C966" s="29"/>
      <c r="D966" s="39"/>
      <c r="E966" s="29"/>
      <c r="F966" s="40"/>
      <c r="G966" s="40"/>
      <c r="H966" s="40"/>
      <c r="I966" s="29"/>
      <c r="J966" s="29"/>
      <c r="K966" s="29"/>
      <c r="L966" s="29"/>
      <c r="M966" s="29"/>
      <c r="N966" s="29"/>
      <c r="O966" s="29"/>
      <c r="P966" s="29"/>
      <c r="Q966" s="29"/>
      <c r="R966" s="29"/>
      <c r="S966" s="29"/>
      <c r="T966" s="29"/>
      <c r="U966" s="29"/>
      <c r="V966" s="29"/>
      <c r="W966" s="29"/>
      <c r="X966" s="29"/>
      <c r="Y966" s="29"/>
      <c r="Z966" s="29"/>
    </row>
    <row r="967" ht="18.75" customHeight="1">
      <c r="A967" s="37"/>
      <c r="B967" s="38"/>
      <c r="C967" s="29"/>
      <c r="D967" s="39"/>
      <c r="E967" s="29"/>
      <c r="F967" s="40"/>
      <c r="G967" s="40"/>
      <c r="H967" s="40"/>
      <c r="I967" s="29"/>
      <c r="J967" s="29"/>
      <c r="K967" s="29"/>
      <c r="L967" s="29"/>
      <c r="M967" s="29"/>
      <c r="N967" s="29"/>
      <c r="O967" s="29"/>
      <c r="P967" s="29"/>
      <c r="Q967" s="29"/>
      <c r="R967" s="29"/>
      <c r="S967" s="29"/>
      <c r="T967" s="29"/>
      <c r="U967" s="29"/>
      <c r="V967" s="29"/>
      <c r="W967" s="29"/>
      <c r="X967" s="29"/>
      <c r="Y967" s="29"/>
      <c r="Z967" s="29"/>
    </row>
    <row r="968" ht="18.75" customHeight="1">
      <c r="A968" s="37"/>
      <c r="B968" s="38"/>
      <c r="C968" s="29"/>
      <c r="D968" s="39"/>
      <c r="E968" s="29"/>
      <c r="F968" s="40"/>
      <c r="G968" s="40"/>
      <c r="H968" s="40"/>
      <c r="I968" s="29"/>
      <c r="J968" s="29"/>
      <c r="K968" s="29"/>
      <c r="L968" s="29"/>
      <c r="M968" s="29"/>
      <c r="N968" s="29"/>
      <c r="O968" s="29"/>
      <c r="P968" s="29"/>
      <c r="Q968" s="29"/>
      <c r="R968" s="29"/>
      <c r="S968" s="29"/>
      <c r="T968" s="29"/>
      <c r="U968" s="29"/>
      <c r="V968" s="29"/>
      <c r="W968" s="29"/>
      <c r="X968" s="29"/>
      <c r="Y968" s="29"/>
      <c r="Z968" s="29"/>
    </row>
    <row r="969" ht="18.75" customHeight="1">
      <c r="A969" s="37"/>
      <c r="B969" s="38"/>
      <c r="C969" s="29"/>
      <c r="D969" s="39"/>
      <c r="E969" s="29"/>
      <c r="F969" s="40"/>
      <c r="G969" s="40"/>
      <c r="H969" s="40"/>
      <c r="I969" s="29"/>
      <c r="J969" s="29"/>
      <c r="K969" s="29"/>
      <c r="L969" s="29"/>
      <c r="M969" s="29"/>
      <c r="N969" s="29"/>
      <c r="O969" s="29"/>
      <c r="P969" s="29"/>
      <c r="Q969" s="29"/>
      <c r="R969" s="29"/>
      <c r="S969" s="29"/>
      <c r="T969" s="29"/>
      <c r="U969" s="29"/>
      <c r="V969" s="29"/>
      <c r="W969" s="29"/>
      <c r="X969" s="29"/>
      <c r="Y969" s="29"/>
      <c r="Z969" s="29"/>
    </row>
    <row r="970" ht="18.75" customHeight="1">
      <c r="A970" s="37"/>
      <c r="B970" s="38"/>
      <c r="C970" s="29"/>
      <c r="D970" s="39"/>
      <c r="E970" s="29"/>
      <c r="F970" s="40"/>
      <c r="G970" s="40"/>
      <c r="H970" s="40"/>
      <c r="I970" s="29"/>
      <c r="J970" s="29"/>
      <c r="K970" s="29"/>
      <c r="L970" s="29"/>
      <c r="M970" s="29"/>
      <c r="N970" s="29"/>
      <c r="O970" s="29"/>
      <c r="P970" s="29"/>
      <c r="Q970" s="29"/>
      <c r="R970" s="29"/>
      <c r="S970" s="29"/>
      <c r="T970" s="29"/>
      <c r="U970" s="29"/>
      <c r="V970" s="29"/>
      <c r="W970" s="29"/>
      <c r="X970" s="29"/>
      <c r="Y970" s="29"/>
      <c r="Z970" s="29"/>
    </row>
    <row r="971" ht="18.75" customHeight="1">
      <c r="A971" s="37"/>
      <c r="B971" s="38"/>
      <c r="C971" s="29"/>
      <c r="D971" s="39"/>
      <c r="E971" s="29"/>
      <c r="F971" s="40"/>
      <c r="G971" s="40"/>
      <c r="H971" s="40"/>
      <c r="I971" s="29"/>
      <c r="J971" s="29"/>
      <c r="K971" s="29"/>
      <c r="L971" s="29"/>
      <c r="M971" s="29"/>
      <c r="N971" s="29"/>
      <c r="O971" s="29"/>
      <c r="P971" s="29"/>
      <c r="Q971" s="29"/>
      <c r="R971" s="29"/>
      <c r="S971" s="29"/>
      <c r="T971" s="29"/>
      <c r="U971" s="29"/>
      <c r="V971" s="29"/>
      <c r="W971" s="29"/>
      <c r="X971" s="29"/>
      <c r="Y971" s="29"/>
      <c r="Z971" s="29"/>
    </row>
    <row r="972" ht="18.75" customHeight="1">
      <c r="A972" s="37"/>
      <c r="B972" s="38"/>
      <c r="C972" s="29"/>
      <c r="D972" s="39"/>
      <c r="E972" s="29"/>
      <c r="F972" s="40"/>
      <c r="G972" s="40"/>
      <c r="H972" s="40"/>
      <c r="I972" s="29"/>
      <c r="J972" s="29"/>
      <c r="K972" s="29"/>
      <c r="L972" s="29"/>
      <c r="M972" s="29"/>
      <c r="N972" s="29"/>
      <c r="O972" s="29"/>
      <c r="P972" s="29"/>
      <c r="Q972" s="29"/>
      <c r="R972" s="29"/>
      <c r="S972" s="29"/>
      <c r="T972" s="29"/>
      <c r="U972" s="29"/>
      <c r="V972" s="29"/>
      <c r="W972" s="29"/>
      <c r="X972" s="29"/>
      <c r="Y972" s="29"/>
      <c r="Z972" s="29"/>
    </row>
    <row r="973" ht="18.75" customHeight="1">
      <c r="A973" s="37"/>
      <c r="B973" s="38"/>
      <c r="C973" s="29"/>
      <c r="D973" s="39"/>
      <c r="E973" s="29"/>
      <c r="F973" s="40"/>
      <c r="G973" s="40"/>
      <c r="H973" s="40"/>
      <c r="I973" s="29"/>
      <c r="J973" s="29"/>
      <c r="K973" s="29"/>
      <c r="L973" s="29"/>
      <c r="M973" s="29"/>
      <c r="N973" s="29"/>
      <c r="O973" s="29"/>
      <c r="P973" s="29"/>
      <c r="Q973" s="29"/>
      <c r="R973" s="29"/>
      <c r="S973" s="29"/>
      <c r="T973" s="29"/>
      <c r="U973" s="29"/>
      <c r="V973" s="29"/>
      <c r="W973" s="29"/>
      <c r="X973" s="29"/>
      <c r="Y973" s="29"/>
      <c r="Z973" s="29"/>
    </row>
    <row r="974" ht="18.75" customHeight="1">
      <c r="A974" s="37"/>
      <c r="B974" s="38"/>
      <c r="C974" s="29"/>
      <c r="D974" s="39"/>
      <c r="E974" s="29"/>
      <c r="F974" s="40"/>
      <c r="G974" s="40"/>
      <c r="H974" s="40"/>
      <c r="I974" s="29"/>
      <c r="J974" s="29"/>
      <c r="K974" s="29"/>
      <c r="L974" s="29"/>
      <c r="M974" s="29"/>
      <c r="N974" s="29"/>
      <c r="O974" s="29"/>
      <c r="P974" s="29"/>
      <c r="Q974" s="29"/>
      <c r="R974" s="29"/>
      <c r="S974" s="29"/>
      <c r="T974" s="29"/>
      <c r="U974" s="29"/>
      <c r="V974" s="29"/>
      <c r="W974" s="29"/>
      <c r="X974" s="29"/>
      <c r="Y974" s="29"/>
      <c r="Z974" s="29"/>
    </row>
    <row r="975" ht="18.75" customHeight="1">
      <c r="A975" s="37"/>
      <c r="B975" s="38"/>
      <c r="C975" s="29"/>
      <c r="D975" s="39"/>
      <c r="E975" s="29"/>
      <c r="F975" s="40"/>
      <c r="G975" s="40"/>
      <c r="H975" s="40"/>
      <c r="I975" s="29"/>
      <c r="J975" s="29"/>
      <c r="K975" s="29"/>
      <c r="L975" s="29"/>
      <c r="M975" s="29"/>
      <c r="N975" s="29"/>
      <c r="O975" s="29"/>
      <c r="P975" s="29"/>
      <c r="Q975" s="29"/>
      <c r="R975" s="29"/>
      <c r="S975" s="29"/>
      <c r="T975" s="29"/>
      <c r="U975" s="29"/>
      <c r="V975" s="29"/>
      <c r="W975" s="29"/>
      <c r="X975" s="29"/>
      <c r="Y975" s="29"/>
      <c r="Z975" s="29"/>
    </row>
    <row r="976" ht="18.75" customHeight="1">
      <c r="A976" s="37"/>
      <c r="B976" s="38"/>
      <c r="C976" s="29"/>
      <c r="D976" s="39"/>
      <c r="E976" s="29"/>
      <c r="F976" s="40"/>
      <c r="G976" s="40"/>
      <c r="H976" s="40"/>
      <c r="I976" s="29"/>
      <c r="J976" s="29"/>
      <c r="K976" s="29"/>
      <c r="L976" s="29"/>
      <c r="M976" s="29"/>
      <c r="N976" s="29"/>
      <c r="O976" s="29"/>
      <c r="P976" s="29"/>
      <c r="Q976" s="29"/>
      <c r="R976" s="29"/>
      <c r="S976" s="29"/>
      <c r="T976" s="29"/>
      <c r="U976" s="29"/>
      <c r="V976" s="29"/>
      <c r="W976" s="29"/>
      <c r="X976" s="29"/>
      <c r="Y976" s="29"/>
      <c r="Z976" s="29"/>
    </row>
    <row r="977" ht="18.75" customHeight="1">
      <c r="A977" s="37"/>
      <c r="B977" s="38"/>
      <c r="C977" s="29"/>
      <c r="D977" s="39"/>
      <c r="E977" s="29"/>
      <c r="F977" s="40"/>
      <c r="G977" s="40"/>
      <c r="H977" s="40"/>
      <c r="I977" s="29"/>
      <c r="J977" s="29"/>
      <c r="K977" s="29"/>
      <c r="L977" s="29"/>
      <c r="M977" s="29"/>
      <c r="N977" s="29"/>
      <c r="O977" s="29"/>
      <c r="P977" s="29"/>
      <c r="Q977" s="29"/>
      <c r="R977" s="29"/>
      <c r="S977" s="29"/>
      <c r="T977" s="29"/>
      <c r="U977" s="29"/>
      <c r="V977" s="29"/>
      <c r="W977" s="29"/>
      <c r="X977" s="29"/>
      <c r="Y977" s="29"/>
      <c r="Z977" s="29"/>
    </row>
    <row r="978" ht="18.75" customHeight="1">
      <c r="A978" s="37"/>
      <c r="B978" s="38"/>
      <c r="C978" s="29"/>
      <c r="D978" s="39"/>
      <c r="E978" s="29"/>
      <c r="F978" s="40"/>
      <c r="G978" s="40"/>
      <c r="H978" s="40"/>
      <c r="I978" s="29"/>
      <c r="J978" s="29"/>
      <c r="K978" s="29"/>
      <c r="L978" s="29"/>
      <c r="M978" s="29"/>
      <c r="N978" s="29"/>
      <c r="O978" s="29"/>
      <c r="P978" s="29"/>
      <c r="Q978" s="29"/>
      <c r="R978" s="29"/>
      <c r="S978" s="29"/>
      <c r="T978" s="29"/>
      <c r="U978" s="29"/>
      <c r="V978" s="29"/>
      <c r="W978" s="29"/>
      <c r="X978" s="29"/>
      <c r="Y978" s="29"/>
      <c r="Z978" s="29"/>
    </row>
    <row r="979" ht="18.75" customHeight="1">
      <c r="A979" s="37"/>
      <c r="B979" s="38"/>
      <c r="C979" s="29"/>
      <c r="D979" s="39"/>
      <c r="E979" s="29"/>
      <c r="F979" s="40"/>
      <c r="G979" s="40"/>
      <c r="H979" s="40"/>
      <c r="I979" s="29"/>
      <c r="J979" s="29"/>
      <c r="K979" s="29"/>
      <c r="L979" s="29"/>
      <c r="M979" s="29"/>
      <c r="N979" s="29"/>
      <c r="O979" s="29"/>
      <c r="P979" s="29"/>
      <c r="Q979" s="29"/>
      <c r="R979" s="29"/>
      <c r="S979" s="29"/>
      <c r="T979" s="29"/>
      <c r="U979" s="29"/>
      <c r="V979" s="29"/>
      <c r="W979" s="29"/>
      <c r="X979" s="29"/>
      <c r="Y979" s="29"/>
      <c r="Z979" s="29"/>
    </row>
    <row r="980" ht="18.75" customHeight="1">
      <c r="A980" s="37"/>
      <c r="B980" s="38"/>
      <c r="C980" s="29"/>
      <c r="D980" s="39"/>
      <c r="E980" s="29"/>
      <c r="F980" s="40"/>
      <c r="G980" s="40"/>
      <c r="H980" s="40"/>
      <c r="I980" s="29"/>
      <c r="J980" s="29"/>
      <c r="K980" s="29"/>
      <c r="L980" s="29"/>
      <c r="M980" s="29"/>
      <c r="N980" s="29"/>
      <c r="O980" s="29"/>
      <c r="P980" s="29"/>
      <c r="Q980" s="29"/>
      <c r="R980" s="29"/>
      <c r="S980" s="29"/>
      <c r="T980" s="29"/>
      <c r="U980" s="29"/>
      <c r="V980" s="29"/>
      <c r="W980" s="29"/>
      <c r="X980" s="29"/>
      <c r="Y980" s="29"/>
      <c r="Z980" s="29"/>
    </row>
    <row r="981" ht="18.75" customHeight="1">
      <c r="A981" s="37"/>
      <c r="B981" s="38"/>
      <c r="C981" s="29"/>
      <c r="D981" s="39"/>
      <c r="E981" s="29"/>
      <c r="F981" s="40"/>
      <c r="G981" s="40"/>
      <c r="H981" s="40"/>
      <c r="I981" s="29"/>
      <c r="J981" s="29"/>
      <c r="K981" s="29"/>
      <c r="L981" s="29"/>
      <c r="M981" s="29"/>
      <c r="N981" s="29"/>
      <c r="O981" s="29"/>
      <c r="P981" s="29"/>
      <c r="Q981" s="29"/>
      <c r="R981" s="29"/>
      <c r="S981" s="29"/>
      <c r="T981" s="29"/>
      <c r="U981" s="29"/>
      <c r="V981" s="29"/>
      <c r="W981" s="29"/>
      <c r="X981" s="29"/>
      <c r="Y981" s="29"/>
      <c r="Z981" s="29"/>
    </row>
    <row r="982" ht="18.75" customHeight="1">
      <c r="A982" s="37"/>
      <c r="B982" s="38"/>
      <c r="C982" s="29"/>
      <c r="D982" s="39"/>
      <c r="E982" s="29"/>
      <c r="F982" s="40"/>
      <c r="G982" s="40"/>
      <c r="H982" s="40"/>
      <c r="I982" s="29"/>
      <c r="J982" s="29"/>
      <c r="K982" s="29"/>
      <c r="L982" s="29"/>
      <c r="M982" s="29"/>
      <c r="N982" s="29"/>
      <c r="O982" s="29"/>
      <c r="P982" s="29"/>
      <c r="Q982" s="29"/>
      <c r="R982" s="29"/>
      <c r="S982" s="29"/>
      <c r="T982" s="29"/>
      <c r="U982" s="29"/>
      <c r="V982" s="29"/>
      <c r="W982" s="29"/>
      <c r="X982" s="29"/>
      <c r="Y982" s="29"/>
      <c r="Z982" s="29"/>
    </row>
    <row r="983" ht="18.75" customHeight="1">
      <c r="A983" s="37"/>
      <c r="B983" s="38"/>
      <c r="C983" s="29"/>
      <c r="D983" s="39"/>
      <c r="E983" s="29"/>
      <c r="F983" s="40"/>
      <c r="G983" s="40"/>
      <c r="H983" s="40"/>
      <c r="I983" s="29"/>
      <c r="J983" s="29"/>
      <c r="K983" s="29"/>
      <c r="L983" s="29"/>
      <c r="M983" s="29"/>
      <c r="N983" s="29"/>
      <c r="O983" s="29"/>
      <c r="P983" s="29"/>
      <c r="Q983" s="29"/>
      <c r="R983" s="29"/>
      <c r="S983" s="29"/>
      <c r="T983" s="29"/>
      <c r="U983" s="29"/>
      <c r="V983" s="29"/>
      <c r="W983" s="29"/>
      <c r="X983" s="29"/>
      <c r="Y983" s="29"/>
      <c r="Z983" s="29"/>
    </row>
    <row r="984" ht="18.75" customHeight="1">
      <c r="A984" s="37"/>
      <c r="B984" s="38"/>
      <c r="C984" s="29"/>
      <c r="D984" s="39"/>
      <c r="E984" s="29"/>
      <c r="F984" s="40"/>
      <c r="G984" s="40"/>
      <c r="H984" s="40"/>
      <c r="I984" s="29"/>
      <c r="J984" s="29"/>
      <c r="K984" s="29"/>
      <c r="L984" s="29"/>
      <c r="M984" s="29"/>
      <c r="N984" s="29"/>
      <c r="O984" s="29"/>
      <c r="P984" s="29"/>
      <c r="Q984" s="29"/>
      <c r="R984" s="29"/>
      <c r="S984" s="29"/>
      <c r="T984" s="29"/>
      <c r="U984" s="29"/>
      <c r="V984" s="29"/>
      <c r="W984" s="29"/>
      <c r="X984" s="29"/>
      <c r="Y984" s="29"/>
      <c r="Z984" s="29"/>
    </row>
    <row r="985" ht="18.75" customHeight="1">
      <c r="A985" s="37"/>
      <c r="B985" s="38"/>
      <c r="C985" s="29"/>
      <c r="D985" s="39"/>
      <c r="E985" s="29"/>
      <c r="F985" s="40"/>
      <c r="G985" s="40"/>
      <c r="H985" s="40"/>
      <c r="I985" s="29"/>
      <c r="J985" s="29"/>
      <c r="K985" s="29"/>
      <c r="L985" s="29"/>
      <c r="M985" s="29"/>
      <c r="N985" s="29"/>
      <c r="O985" s="29"/>
      <c r="P985" s="29"/>
      <c r="Q985" s="29"/>
      <c r="R985" s="29"/>
      <c r="S985" s="29"/>
      <c r="T985" s="29"/>
      <c r="U985" s="29"/>
      <c r="V985" s="29"/>
      <c r="W985" s="29"/>
      <c r="X985" s="29"/>
      <c r="Y985" s="29"/>
      <c r="Z985" s="29"/>
    </row>
    <row r="986" ht="18.75" customHeight="1">
      <c r="A986" s="37"/>
      <c r="B986" s="38"/>
      <c r="C986" s="29"/>
      <c r="D986" s="39"/>
      <c r="E986" s="29"/>
      <c r="F986" s="40"/>
      <c r="G986" s="40"/>
      <c r="H986" s="40"/>
      <c r="I986" s="29"/>
      <c r="J986" s="29"/>
      <c r="K986" s="29"/>
      <c r="L986" s="29"/>
      <c r="M986" s="29"/>
      <c r="N986" s="29"/>
      <c r="O986" s="29"/>
      <c r="P986" s="29"/>
      <c r="Q986" s="29"/>
      <c r="R986" s="29"/>
      <c r="S986" s="29"/>
      <c r="T986" s="29"/>
      <c r="U986" s="29"/>
      <c r="V986" s="29"/>
      <c r="W986" s="29"/>
      <c r="X986" s="29"/>
      <c r="Y986" s="29"/>
      <c r="Z986" s="29"/>
    </row>
    <row r="987" ht="18.75" customHeight="1">
      <c r="A987" s="37"/>
      <c r="B987" s="38"/>
      <c r="C987" s="29"/>
      <c r="D987" s="39"/>
      <c r="E987" s="29"/>
      <c r="F987" s="40"/>
      <c r="G987" s="40"/>
      <c r="H987" s="40"/>
      <c r="I987" s="29"/>
      <c r="J987" s="29"/>
      <c r="K987" s="29"/>
      <c r="L987" s="29"/>
      <c r="M987" s="29"/>
      <c r="N987" s="29"/>
      <c r="O987" s="29"/>
      <c r="P987" s="29"/>
      <c r="Q987" s="29"/>
      <c r="R987" s="29"/>
      <c r="S987" s="29"/>
      <c r="T987" s="29"/>
      <c r="U987" s="29"/>
      <c r="V987" s="29"/>
      <c r="W987" s="29"/>
      <c r="X987" s="29"/>
      <c r="Y987" s="29"/>
      <c r="Z987" s="29"/>
    </row>
    <row r="988" ht="18.75" customHeight="1">
      <c r="A988" s="37"/>
      <c r="B988" s="38"/>
      <c r="C988" s="29"/>
      <c r="D988" s="39"/>
      <c r="E988" s="29"/>
      <c r="F988" s="40"/>
      <c r="G988" s="40"/>
      <c r="H988" s="40"/>
      <c r="I988" s="29"/>
      <c r="J988" s="29"/>
      <c r="K988" s="29"/>
      <c r="L988" s="29"/>
      <c r="M988" s="29"/>
      <c r="N988" s="29"/>
      <c r="O988" s="29"/>
      <c r="P988" s="29"/>
      <c r="Q988" s="29"/>
      <c r="R988" s="29"/>
      <c r="S988" s="29"/>
      <c r="T988" s="29"/>
      <c r="U988" s="29"/>
      <c r="V988" s="29"/>
      <c r="W988" s="29"/>
      <c r="X988" s="29"/>
      <c r="Y988" s="29"/>
      <c r="Z988" s="29"/>
    </row>
    <row r="989" ht="18.75" customHeight="1">
      <c r="A989" s="37"/>
      <c r="B989" s="38"/>
      <c r="C989" s="29"/>
      <c r="D989" s="39"/>
      <c r="E989" s="29"/>
      <c r="F989" s="40"/>
      <c r="G989" s="40"/>
      <c r="H989" s="40"/>
      <c r="I989" s="29"/>
      <c r="J989" s="29"/>
      <c r="K989" s="29"/>
      <c r="L989" s="29"/>
      <c r="M989" s="29"/>
      <c r="N989" s="29"/>
      <c r="O989" s="29"/>
      <c r="P989" s="29"/>
      <c r="Q989" s="29"/>
      <c r="R989" s="29"/>
      <c r="S989" s="29"/>
      <c r="T989" s="29"/>
      <c r="U989" s="29"/>
      <c r="V989" s="29"/>
      <c r="W989" s="29"/>
      <c r="X989" s="29"/>
      <c r="Y989" s="29"/>
      <c r="Z989" s="29"/>
    </row>
    <row r="990" ht="18.75" customHeight="1">
      <c r="A990" s="37"/>
      <c r="B990" s="38"/>
      <c r="C990" s="29"/>
      <c r="D990" s="39"/>
      <c r="E990" s="29"/>
      <c r="F990" s="40"/>
      <c r="G990" s="40"/>
      <c r="H990" s="40"/>
      <c r="I990" s="29"/>
      <c r="J990" s="29"/>
      <c r="K990" s="29"/>
      <c r="L990" s="29"/>
      <c r="M990" s="29"/>
      <c r="N990" s="29"/>
      <c r="O990" s="29"/>
      <c r="P990" s="29"/>
      <c r="Q990" s="29"/>
      <c r="R990" s="29"/>
      <c r="S990" s="29"/>
      <c r="T990" s="29"/>
      <c r="U990" s="29"/>
      <c r="V990" s="29"/>
      <c r="W990" s="29"/>
      <c r="X990" s="29"/>
      <c r="Y990" s="29"/>
      <c r="Z990" s="29"/>
    </row>
    <row r="991" ht="18.75" customHeight="1">
      <c r="A991" s="37"/>
      <c r="B991" s="38"/>
      <c r="C991" s="29"/>
      <c r="D991" s="39"/>
      <c r="E991" s="29"/>
      <c r="F991" s="40"/>
      <c r="G991" s="40"/>
      <c r="H991" s="40"/>
      <c r="I991" s="29"/>
      <c r="J991" s="29"/>
      <c r="K991" s="29"/>
      <c r="L991" s="29"/>
      <c r="M991" s="29"/>
      <c r="N991" s="29"/>
      <c r="O991" s="29"/>
      <c r="P991" s="29"/>
      <c r="Q991" s="29"/>
      <c r="R991" s="29"/>
      <c r="S991" s="29"/>
      <c r="T991" s="29"/>
      <c r="U991" s="29"/>
      <c r="V991" s="29"/>
      <c r="W991" s="29"/>
      <c r="X991" s="29"/>
      <c r="Y991" s="29"/>
      <c r="Z991" s="29"/>
    </row>
    <row r="992" ht="18.75" customHeight="1">
      <c r="A992" s="37"/>
      <c r="B992" s="38"/>
      <c r="C992" s="29"/>
      <c r="D992" s="39"/>
      <c r="E992" s="29"/>
      <c r="F992" s="40"/>
      <c r="G992" s="40"/>
      <c r="H992" s="40"/>
      <c r="I992" s="29"/>
      <c r="J992" s="29"/>
      <c r="K992" s="29"/>
      <c r="L992" s="29"/>
      <c r="M992" s="29"/>
      <c r="N992" s="29"/>
      <c r="O992" s="29"/>
      <c r="P992" s="29"/>
      <c r="Q992" s="29"/>
      <c r="R992" s="29"/>
      <c r="S992" s="29"/>
      <c r="T992" s="29"/>
      <c r="U992" s="29"/>
      <c r="V992" s="29"/>
      <c r="W992" s="29"/>
      <c r="X992" s="29"/>
      <c r="Y992" s="29"/>
      <c r="Z992" s="29"/>
    </row>
    <row r="993" ht="18.75" customHeight="1">
      <c r="A993" s="37"/>
      <c r="B993" s="38"/>
      <c r="C993" s="29"/>
      <c r="D993" s="39"/>
      <c r="E993" s="29"/>
      <c r="F993" s="40"/>
      <c r="G993" s="40"/>
      <c r="H993" s="40"/>
      <c r="I993" s="29"/>
      <c r="J993" s="29"/>
      <c r="K993" s="29"/>
      <c r="L993" s="29"/>
      <c r="M993" s="29"/>
      <c r="N993" s="29"/>
      <c r="O993" s="29"/>
      <c r="P993" s="29"/>
      <c r="Q993" s="29"/>
      <c r="R993" s="29"/>
      <c r="S993" s="29"/>
      <c r="T993" s="29"/>
      <c r="U993" s="29"/>
      <c r="V993" s="29"/>
      <c r="W993" s="29"/>
      <c r="X993" s="29"/>
      <c r="Y993" s="29"/>
      <c r="Z993" s="29"/>
    </row>
    <row r="994" ht="18.75" customHeight="1">
      <c r="A994" s="37"/>
      <c r="B994" s="38"/>
      <c r="C994" s="29"/>
      <c r="D994" s="39"/>
      <c r="E994" s="29"/>
      <c r="F994" s="40"/>
      <c r="G994" s="40"/>
      <c r="H994" s="40"/>
      <c r="I994" s="29"/>
      <c r="J994" s="29"/>
      <c r="K994" s="29"/>
      <c r="L994" s="29"/>
      <c r="M994" s="29"/>
      <c r="N994" s="29"/>
      <c r="O994" s="29"/>
      <c r="P994" s="29"/>
      <c r="Q994" s="29"/>
      <c r="R994" s="29"/>
      <c r="S994" s="29"/>
      <c r="T994" s="29"/>
      <c r="U994" s="29"/>
      <c r="V994" s="29"/>
      <c r="W994" s="29"/>
      <c r="X994" s="29"/>
      <c r="Y994" s="29"/>
      <c r="Z994" s="29"/>
    </row>
    <row r="995" ht="18.75" customHeight="1">
      <c r="A995" s="37"/>
      <c r="B995" s="38"/>
      <c r="C995" s="29"/>
      <c r="D995" s="39"/>
      <c r="E995" s="29"/>
      <c r="F995" s="40"/>
      <c r="G995" s="40"/>
      <c r="H995" s="40"/>
      <c r="I995" s="29"/>
      <c r="J995" s="29"/>
      <c r="K995" s="29"/>
      <c r="L995" s="29"/>
      <c r="M995" s="29"/>
      <c r="N995" s="29"/>
      <c r="O995" s="29"/>
      <c r="P995" s="29"/>
      <c r="Q995" s="29"/>
      <c r="R995" s="29"/>
      <c r="S995" s="29"/>
      <c r="T995" s="29"/>
      <c r="U995" s="29"/>
      <c r="V995" s="29"/>
      <c r="W995" s="29"/>
      <c r="X995" s="29"/>
      <c r="Y995" s="29"/>
      <c r="Z995" s="29"/>
    </row>
    <row r="996" ht="18.75" customHeight="1">
      <c r="A996" s="37"/>
      <c r="B996" s="38"/>
      <c r="C996" s="29"/>
      <c r="D996" s="39"/>
      <c r="E996" s="29"/>
      <c r="F996" s="40"/>
      <c r="G996" s="40"/>
      <c r="H996" s="40"/>
      <c r="I996" s="29"/>
      <c r="J996" s="29"/>
      <c r="K996" s="29"/>
      <c r="L996" s="29"/>
      <c r="M996" s="29"/>
      <c r="N996" s="29"/>
      <c r="O996" s="29"/>
      <c r="P996" s="29"/>
      <c r="Q996" s="29"/>
      <c r="R996" s="29"/>
      <c r="S996" s="29"/>
      <c r="T996" s="29"/>
      <c r="U996" s="29"/>
      <c r="V996" s="29"/>
      <c r="W996" s="29"/>
      <c r="X996" s="29"/>
      <c r="Y996" s="29"/>
      <c r="Z996" s="29"/>
    </row>
    <row r="997" ht="18.75" customHeight="1">
      <c r="A997" s="37"/>
      <c r="B997" s="38"/>
      <c r="C997" s="29"/>
      <c r="D997" s="39"/>
      <c r="E997" s="29"/>
      <c r="F997" s="40"/>
      <c r="G997" s="40"/>
      <c r="H997" s="40"/>
      <c r="I997" s="29"/>
      <c r="J997" s="29"/>
      <c r="K997" s="29"/>
      <c r="L997" s="29"/>
      <c r="M997" s="29"/>
      <c r="N997" s="29"/>
      <c r="O997" s="29"/>
      <c r="P997" s="29"/>
      <c r="Q997" s="29"/>
      <c r="R997" s="29"/>
      <c r="S997" s="29"/>
      <c r="T997" s="29"/>
      <c r="U997" s="29"/>
      <c r="V997" s="29"/>
      <c r="W997" s="29"/>
      <c r="X997" s="29"/>
      <c r="Y997" s="29"/>
      <c r="Z997" s="29"/>
    </row>
    <row r="998" ht="18.75" customHeight="1">
      <c r="A998" s="37"/>
      <c r="B998" s="38"/>
      <c r="C998" s="29"/>
      <c r="D998" s="39"/>
      <c r="E998" s="29"/>
      <c r="F998" s="40"/>
      <c r="G998" s="40"/>
      <c r="H998" s="40"/>
      <c r="I998" s="29"/>
      <c r="J998" s="29"/>
      <c r="K998" s="29"/>
      <c r="L998" s="29"/>
      <c r="M998" s="29"/>
      <c r="N998" s="29"/>
      <c r="O998" s="29"/>
      <c r="P998" s="29"/>
      <c r="Q998" s="29"/>
      <c r="R998" s="29"/>
      <c r="S998" s="29"/>
      <c r="T998" s="29"/>
      <c r="U998" s="29"/>
      <c r="V998" s="29"/>
      <c r="W998" s="29"/>
      <c r="X998" s="29"/>
      <c r="Y998" s="29"/>
      <c r="Z998" s="29"/>
    </row>
    <row r="999" ht="18.75" customHeight="1">
      <c r="A999" s="37"/>
      <c r="B999" s="38"/>
      <c r="C999" s="29"/>
      <c r="D999" s="39"/>
      <c r="E999" s="29"/>
      <c r="F999" s="40"/>
      <c r="G999" s="40"/>
      <c r="H999" s="40"/>
      <c r="I999" s="29"/>
      <c r="J999" s="29"/>
      <c r="K999" s="29"/>
      <c r="L999" s="29"/>
      <c r="M999" s="29"/>
      <c r="N999" s="29"/>
      <c r="O999" s="29"/>
      <c r="P999" s="29"/>
      <c r="Q999" s="29"/>
      <c r="R999" s="29"/>
      <c r="S999" s="29"/>
      <c r="T999" s="29"/>
      <c r="U999" s="29"/>
      <c r="V999" s="29"/>
      <c r="W999" s="29"/>
      <c r="X999" s="29"/>
      <c r="Y999" s="29"/>
      <c r="Z999" s="29"/>
    </row>
    <row r="1000" ht="18.75" customHeight="1">
      <c r="A1000" s="37"/>
      <c r="B1000" s="38"/>
      <c r="C1000" s="29"/>
      <c r="D1000" s="39"/>
      <c r="E1000" s="29"/>
      <c r="F1000" s="40"/>
      <c r="G1000" s="40"/>
      <c r="H1000" s="40"/>
      <c r="I1000" s="29"/>
      <c r="J1000" s="29"/>
      <c r="K1000" s="29"/>
      <c r="L1000" s="29"/>
      <c r="M1000" s="29"/>
      <c r="N1000" s="29"/>
      <c r="O1000" s="29"/>
      <c r="P1000" s="29"/>
      <c r="Q1000" s="29"/>
      <c r="R1000" s="29"/>
      <c r="S1000" s="29"/>
      <c r="T1000" s="29"/>
      <c r="U1000" s="29"/>
      <c r="V1000" s="29"/>
      <c r="W1000" s="29"/>
      <c r="X1000" s="29"/>
      <c r="Y1000" s="29"/>
      <c r="Z1000" s="29"/>
    </row>
  </sheetData>
  <autoFilter ref="$A$3:$H$3"/>
  <mergeCells count="5">
    <mergeCell ref="A5:A40"/>
    <mergeCell ref="A45:A46"/>
    <mergeCell ref="A49:A50"/>
    <mergeCell ref="A51:A52"/>
    <mergeCell ref="A53:A54"/>
  </mergeCells>
  <printOptions/>
  <pageMargins bottom="0.31496062992125984" footer="0.0" header="0.0" left="0.7086614173228347" right="0.7086614173228347" top="0.35433070866141736"/>
  <pageSetup paperSize="9" scale="75"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4.43" defaultRowHeight="15.0"/>
  <cols>
    <col customWidth="1" min="1" max="1" width="26.57"/>
    <col customWidth="1" min="2" max="2" width="47.14"/>
    <col customWidth="1" min="3" max="3" width="12.43"/>
    <col customWidth="1" min="4" max="4" width="68.43"/>
    <col customWidth="1" min="5" max="5" width="42.57"/>
    <col customWidth="1" min="6" max="6" width="21.29"/>
    <col customWidth="1" min="7" max="7" width="13.71"/>
    <col customWidth="1" min="8" max="8" width="22.57"/>
    <col customWidth="1" min="9" max="9" width="19.71"/>
    <col customWidth="1" min="10" max="10" width="31.43"/>
    <col customWidth="1" min="11" max="11" width="30.86"/>
    <col customWidth="1" min="12" max="26" width="8.57"/>
  </cols>
  <sheetData>
    <row r="1" ht="30.75" customHeight="1">
      <c r="A1" s="41" t="s">
        <v>60</v>
      </c>
      <c r="B1" s="42"/>
      <c r="C1" s="42"/>
      <c r="D1" s="42"/>
      <c r="E1" s="42"/>
      <c r="F1" s="43"/>
      <c r="G1" s="42"/>
      <c r="H1" s="44"/>
      <c r="I1" s="45"/>
      <c r="J1" s="42"/>
      <c r="K1" s="42"/>
      <c r="L1" s="42"/>
      <c r="M1" s="42"/>
      <c r="N1" s="42"/>
      <c r="O1" s="42"/>
      <c r="P1" s="42"/>
      <c r="Q1" s="42"/>
      <c r="R1" s="42"/>
      <c r="S1" s="42"/>
      <c r="T1" s="42"/>
      <c r="U1" s="42"/>
      <c r="V1" s="42"/>
      <c r="W1" s="42"/>
      <c r="X1" s="42"/>
      <c r="Y1" s="42"/>
      <c r="Z1" s="42"/>
    </row>
    <row r="2" ht="30.75" customHeight="1">
      <c r="A2" s="41" t="s">
        <v>61</v>
      </c>
      <c r="B2" s="42"/>
      <c r="C2" s="42"/>
      <c r="D2" s="46"/>
      <c r="E2" s="42"/>
      <c r="F2" s="46"/>
      <c r="G2" s="43"/>
      <c r="H2" s="44"/>
      <c r="I2" s="47"/>
      <c r="J2" s="42"/>
      <c r="K2" s="42"/>
      <c r="L2" s="42"/>
      <c r="M2" s="42"/>
      <c r="N2" s="42"/>
      <c r="O2" s="42"/>
      <c r="P2" s="42"/>
      <c r="Q2" s="42"/>
      <c r="R2" s="42"/>
      <c r="S2" s="42"/>
      <c r="T2" s="42"/>
      <c r="U2" s="42"/>
      <c r="V2" s="42"/>
      <c r="W2" s="42"/>
      <c r="X2" s="42"/>
      <c r="Y2" s="42"/>
      <c r="Z2" s="42"/>
    </row>
    <row r="3" ht="30.75" customHeight="1">
      <c r="A3" s="48" t="s">
        <v>62</v>
      </c>
      <c r="B3" s="48" t="s">
        <v>63</v>
      </c>
      <c r="C3" s="48" t="s">
        <v>238</v>
      </c>
      <c r="D3" s="48" t="s">
        <v>239</v>
      </c>
      <c r="E3" s="48" t="s">
        <v>240</v>
      </c>
      <c r="F3" s="49" t="s">
        <v>241</v>
      </c>
      <c r="G3" s="48" t="s">
        <v>242</v>
      </c>
      <c r="H3" s="50" t="s">
        <v>243</v>
      </c>
      <c r="I3" s="48" t="s">
        <v>244</v>
      </c>
      <c r="J3" s="48" t="s">
        <v>245</v>
      </c>
      <c r="K3" s="48" t="s">
        <v>246</v>
      </c>
      <c r="L3" s="51"/>
      <c r="M3" s="51"/>
      <c r="N3" s="51"/>
      <c r="O3" s="51"/>
      <c r="P3" s="51"/>
      <c r="Q3" s="51"/>
      <c r="R3" s="51"/>
      <c r="S3" s="51"/>
      <c r="T3" s="51"/>
      <c r="U3" s="51"/>
      <c r="V3" s="51"/>
      <c r="W3" s="51"/>
      <c r="X3" s="51"/>
      <c r="Y3" s="51"/>
      <c r="Z3" s="51"/>
    </row>
    <row r="4" ht="30.75" customHeight="1">
      <c r="A4" s="52" t="s">
        <v>247</v>
      </c>
      <c r="B4" s="52" t="s">
        <v>72</v>
      </c>
      <c r="C4" s="52" t="s">
        <v>73</v>
      </c>
      <c r="D4" s="52" t="s">
        <v>74</v>
      </c>
      <c r="E4" s="52"/>
      <c r="F4" s="53"/>
      <c r="G4" s="54"/>
      <c r="H4" s="55"/>
      <c r="I4" s="55"/>
      <c r="J4" s="54"/>
      <c r="K4" s="54"/>
      <c r="L4" s="56"/>
      <c r="M4" s="56"/>
      <c r="N4" s="56"/>
      <c r="O4" s="56"/>
      <c r="P4" s="56"/>
      <c r="Q4" s="56"/>
      <c r="R4" s="56"/>
      <c r="S4" s="56"/>
      <c r="T4" s="56"/>
      <c r="U4" s="56"/>
      <c r="V4" s="56"/>
      <c r="W4" s="56"/>
      <c r="X4" s="56"/>
      <c r="Y4" s="56"/>
      <c r="Z4" s="56"/>
    </row>
    <row r="5" ht="57.0" customHeight="1">
      <c r="A5" s="57" t="s">
        <v>247</v>
      </c>
      <c r="B5" s="57" t="s">
        <v>72</v>
      </c>
      <c r="C5" s="57" t="s">
        <v>248</v>
      </c>
      <c r="D5" s="57" t="s">
        <v>249</v>
      </c>
      <c r="E5" s="57" t="s">
        <v>250</v>
      </c>
      <c r="F5" s="58">
        <v>50000.0</v>
      </c>
      <c r="G5" s="57" t="s">
        <v>251</v>
      </c>
      <c r="H5" s="59" t="s">
        <v>252</v>
      </c>
      <c r="I5" s="60" t="s">
        <v>253</v>
      </c>
      <c r="J5" s="61"/>
      <c r="K5" s="61"/>
      <c r="L5" s="42"/>
      <c r="M5" s="42"/>
      <c r="N5" s="42"/>
      <c r="O5" s="42"/>
      <c r="P5" s="42"/>
      <c r="Q5" s="42"/>
      <c r="R5" s="42"/>
      <c r="S5" s="42"/>
      <c r="T5" s="42"/>
      <c r="U5" s="42"/>
      <c r="V5" s="42"/>
      <c r="W5" s="42"/>
      <c r="X5" s="42"/>
      <c r="Y5" s="42"/>
      <c r="Z5" s="42"/>
    </row>
    <row r="6" ht="57.0" customHeight="1">
      <c r="A6" s="57" t="s">
        <v>247</v>
      </c>
      <c r="B6" s="57" t="s">
        <v>72</v>
      </c>
      <c r="C6" s="57" t="s">
        <v>254</v>
      </c>
      <c r="D6" s="57" t="s">
        <v>255</v>
      </c>
      <c r="E6" s="57" t="s">
        <v>256</v>
      </c>
      <c r="F6" s="58">
        <v>70000.0</v>
      </c>
      <c r="G6" s="57" t="s">
        <v>251</v>
      </c>
      <c r="H6" s="59" t="s">
        <v>252</v>
      </c>
      <c r="I6" s="60" t="s">
        <v>253</v>
      </c>
      <c r="J6" s="61"/>
      <c r="K6" s="61"/>
      <c r="L6" s="42"/>
      <c r="M6" s="42"/>
      <c r="N6" s="42"/>
      <c r="O6" s="42"/>
      <c r="P6" s="42"/>
      <c r="Q6" s="42"/>
      <c r="R6" s="42"/>
      <c r="S6" s="42"/>
      <c r="T6" s="42"/>
      <c r="U6" s="42"/>
      <c r="V6" s="42"/>
      <c r="W6" s="42"/>
      <c r="X6" s="42"/>
      <c r="Y6" s="42"/>
      <c r="Z6" s="42"/>
    </row>
    <row r="7" ht="57.0" customHeight="1">
      <c r="A7" s="57" t="s">
        <v>247</v>
      </c>
      <c r="B7" s="57" t="s">
        <v>72</v>
      </c>
      <c r="C7" s="57" t="s">
        <v>257</v>
      </c>
      <c r="D7" s="57" t="s">
        <v>258</v>
      </c>
      <c r="E7" s="57" t="s">
        <v>259</v>
      </c>
      <c r="F7" s="58">
        <v>250000.0</v>
      </c>
      <c r="G7" s="57" t="s">
        <v>251</v>
      </c>
      <c r="H7" s="59" t="s">
        <v>252</v>
      </c>
      <c r="I7" s="60" t="s">
        <v>253</v>
      </c>
      <c r="J7" s="61"/>
      <c r="K7" s="61"/>
      <c r="L7" s="42"/>
      <c r="M7" s="42"/>
      <c r="N7" s="42"/>
      <c r="O7" s="42"/>
      <c r="P7" s="42"/>
      <c r="Q7" s="42"/>
      <c r="R7" s="42"/>
      <c r="S7" s="42"/>
      <c r="T7" s="42"/>
      <c r="U7" s="42"/>
      <c r="V7" s="42"/>
      <c r="W7" s="42"/>
      <c r="X7" s="42"/>
      <c r="Y7" s="42"/>
      <c r="Z7" s="42"/>
    </row>
    <row r="8" ht="57.0" customHeight="1">
      <c r="A8" s="57" t="s">
        <v>247</v>
      </c>
      <c r="B8" s="57" t="s">
        <v>72</v>
      </c>
      <c r="C8" s="57" t="s">
        <v>260</v>
      </c>
      <c r="D8" s="57" t="s">
        <v>261</v>
      </c>
      <c r="E8" s="57" t="s">
        <v>262</v>
      </c>
      <c r="F8" s="58">
        <v>300000.0</v>
      </c>
      <c r="G8" s="57" t="s">
        <v>251</v>
      </c>
      <c r="H8" s="59" t="s">
        <v>252</v>
      </c>
      <c r="I8" s="60" t="s">
        <v>253</v>
      </c>
      <c r="J8" s="61"/>
      <c r="K8" s="61"/>
      <c r="L8" s="42"/>
      <c r="M8" s="42"/>
      <c r="N8" s="42"/>
      <c r="O8" s="42"/>
      <c r="P8" s="42"/>
      <c r="Q8" s="42"/>
      <c r="R8" s="42"/>
      <c r="S8" s="42"/>
      <c r="T8" s="42"/>
      <c r="U8" s="42"/>
      <c r="V8" s="42"/>
      <c r="W8" s="42"/>
      <c r="X8" s="42"/>
      <c r="Y8" s="42"/>
      <c r="Z8" s="42"/>
    </row>
    <row r="9" ht="57.0" customHeight="1">
      <c r="A9" s="57" t="s">
        <v>247</v>
      </c>
      <c r="B9" s="57" t="s">
        <v>72</v>
      </c>
      <c r="C9" s="57" t="s">
        <v>263</v>
      </c>
      <c r="D9" s="57" t="s">
        <v>264</v>
      </c>
      <c r="E9" s="57" t="s">
        <v>265</v>
      </c>
      <c r="F9" s="58">
        <v>430000.0</v>
      </c>
      <c r="G9" s="57" t="s">
        <v>251</v>
      </c>
      <c r="H9" s="59" t="s">
        <v>252</v>
      </c>
      <c r="I9" s="60" t="s">
        <v>253</v>
      </c>
      <c r="J9" s="61"/>
      <c r="K9" s="61"/>
      <c r="L9" s="42"/>
      <c r="M9" s="42"/>
      <c r="N9" s="42"/>
      <c r="O9" s="42"/>
      <c r="P9" s="42"/>
      <c r="Q9" s="42"/>
      <c r="R9" s="42"/>
      <c r="S9" s="42"/>
      <c r="T9" s="42"/>
      <c r="U9" s="42"/>
      <c r="V9" s="42"/>
      <c r="W9" s="42"/>
      <c r="X9" s="42"/>
      <c r="Y9" s="42"/>
      <c r="Z9" s="42"/>
    </row>
    <row r="10" ht="57.0" customHeight="1">
      <c r="A10" s="57" t="s">
        <v>247</v>
      </c>
      <c r="B10" s="57" t="s">
        <v>72</v>
      </c>
      <c r="C10" s="57" t="s">
        <v>266</v>
      </c>
      <c r="D10" s="57" t="s">
        <v>267</v>
      </c>
      <c r="E10" s="57" t="s">
        <v>268</v>
      </c>
      <c r="F10" s="58">
        <v>450000.0</v>
      </c>
      <c r="G10" s="57" t="s">
        <v>251</v>
      </c>
      <c r="H10" s="59" t="s">
        <v>252</v>
      </c>
      <c r="I10" s="60" t="s">
        <v>253</v>
      </c>
      <c r="J10" s="61"/>
      <c r="K10" s="61"/>
      <c r="L10" s="42"/>
      <c r="M10" s="42"/>
      <c r="N10" s="42"/>
      <c r="O10" s="42"/>
      <c r="P10" s="42"/>
      <c r="Q10" s="42"/>
      <c r="R10" s="42"/>
      <c r="S10" s="42"/>
      <c r="T10" s="42"/>
      <c r="U10" s="42"/>
      <c r="V10" s="42"/>
      <c r="W10" s="42"/>
      <c r="X10" s="42"/>
      <c r="Y10" s="42"/>
      <c r="Z10" s="42"/>
    </row>
    <row r="11" ht="57.0" customHeight="1">
      <c r="A11" s="57" t="s">
        <v>247</v>
      </c>
      <c r="B11" s="57" t="s">
        <v>72</v>
      </c>
      <c r="C11" s="57" t="s">
        <v>269</v>
      </c>
      <c r="D11" s="57" t="s">
        <v>270</v>
      </c>
      <c r="E11" s="57" t="s">
        <v>271</v>
      </c>
      <c r="F11" s="58">
        <v>1200000.0</v>
      </c>
      <c r="G11" s="57" t="s">
        <v>251</v>
      </c>
      <c r="H11" s="59" t="s">
        <v>252</v>
      </c>
      <c r="I11" s="60" t="s">
        <v>272</v>
      </c>
      <c r="J11" s="61"/>
      <c r="K11" s="61"/>
      <c r="L11" s="42"/>
      <c r="M11" s="42"/>
      <c r="N11" s="42"/>
      <c r="O11" s="42"/>
      <c r="P11" s="42"/>
      <c r="Q11" s="42"/>
      <c r="R11" s="42"/>
      <c r="S11" s="42"/>
      <c r="T11" s="42"/>
      <c r="U11" s="42"/>
      <c r="V11" s="42"/>
      <c r="W11" s="42"/>
      <c r="X11" s="42"/>
      <c r="Y11" s="42"/>
      <c r="Z11" s="42"/>
    </row>
    <row r="12" ht="30.75" customHeight="1">
      <c r="A12" s="52" t="s">
        <v>247</v>
      </c>
      <c r="B12" s="52" t="s">
        <v>75</v>
      </c>
      <c r="C12" s="52" t="s">
        <v>76</v>
      </c>
      <c r="D12" s="52" t="s">
        <v>77</v>
      </c>
      <c r="E12" s="52"/>
      <c r="F12" s="62"/>
      <c r="G12" s="52"/>
      <c r="H12" s="63"/>
      <c r="I12" s="63"/>
      <c r="J12" s="54"/>
      <c r="K12" s="54"/>
      <c r="L12" s="56"/>
      <c r="M12" s="56"/>
      <c r="N12" s="56"/>
      <c r="O12" s="56"/>
      <c r="P12" s="56"/>
      <c r="Q12" s="56"/>
      <c r="R12" s="56"/>
      <c r="S12" s="56"/>
      <c r="T12" s="56"/>
      <c r="U12" s="56"/>
      <c r="V12" s="56"/>
      <c r="W12" s="56"/>
      <c r="X12" s="56"/>
      <c r="Y12" s="56"/>
      <c r="Z12" s="56"/>
    </row>
    <row r="13" ht="57.0" customHeight="1">
      <c r="A13" s="57" t="s">
        <v>247</v>
      </c>
      <c r="B13" s="57" t="s">
        <v>75</v>
      </c>
      <c r="C13" s="57" t="s">
        <v>273</v>
      </c>
      <c r="D13" s="57" t="s">
        <v>274</v>
      </c>
      <c r="E13" s="57" t="s">
        <v>275</v>
      </c>
      <c r="F13" s="58">
        <v>1500000.0</v>
      </c>
      <c r="G13" s="57" t="s">
        <v>251</v>
      </c>
      <c r="H13" s="59" t="s">
        <v>252</v>
      </c>
      <c r="I13" s="60" t="s">
        <v>253</v>
      </c>
      <c r="J13" s="61"/>
      <c r="K13" s="61"/>
      <c r="L13" s="42"/>
      <c r="M13" s="42"/>
      <c r="N13" s="42"/>
      <c r="O13" s="42"/>
      <c r="P13" s="42"/>
      <c r="Q13" s="42"/>
      <c r="R13" s="42"/>
      <c r="S13" s="42"/>
      <c r="T13" s="42"/>
      <c r="U13" s="42"/>
      <c r="V13" s="42"/>
      <c r="W13" s="42"/>
      <c r="X13" s="42"/>
      <c r="Y13" s="42"/>
      <c r="Z13" s="42"/>
    </row>
    <row r="14" ht="57.0" customHeight="1">
      <c r="A14" s="57" t="s">
        <v>247</v>
      </c>
      <c r="B14" s="57" t="s">
        <v>75</v>
      </c>
      <c r="C14" s="57" t="s">
        <v>276</v>
      </c>
      <c r="D14" s="57" t="s">
        <v>277</v>
      </c>
      <c r="E14" s="57" t="s">
        <v>278</v>
      </c>
      <c r="F14" s="58">
        <v>2300000.0</v>
      </c>
      <c r="G14" s="57" t="s">
        <v>251</v>
      </c>
      <c r="H14" s="59" t="s">
        <v>252</v>
      </c>
      <c r="I14" s="60" t="s">
        <v>253</v>
      </c>
      <c r="J14" s="61"/>
      <c r="K14" s="61"/>
      <c r="L14" s="42"/>
      <c r="M14" s="42"/>
      <c r="N14" s="42"/>
      <c r="O14" s="42"/>
      <c r="P14" s="42"/>
      <c r="Q14" s="42"/>
      <c r="R14" s="42"/>
      <c r="S14" s="42"/>
      <c r="T14" s="42"/>
      <c r="U14" s="42"/>
      <c r="V14" s="42"/>
      <c r="W14" s="42"/>
      <c r="X14" s="42"/>
      <c r="Y14" s="42"/>
      <c r="Z14" s="42"/>
    </row>
    <row r="15" ht="57.0" customHeight="1">
      <c r="A15" s="57" t="s">
        <v>247</v>
      </c>
      <c r="B15" s="57" t="s">
        <v>75</v>
      </c>
      <c r="C15" s="57" t="s">
        <v>279</v>
      </c>
      <c r="D15" s="57" t="s">
        <v>280</v>
      </c>
      <c r="E15" s="64" t="s">
        <v>281</v>
      </c>
      <c r="F15" s="58">
        <v>3500000.0</v>
      </c>
      <c r="G15" s="57" t="s">
        <v>251</v>
      </c>
      <c r="H15" s="59" t="s">
        <v>252</v>
      </c>
      <c r="I15" s="60" t="s">
        <v>253</v>
      </c>
      <c r="J15" s="61"/>
      <c r="K15" s="61"/>
      <c r="L15" s="42"/>
      <c r="M15" s="42"/>
      <c r="N15" s="42"/>
      <c r="O15" s="42"/>
      <c r="P15" s="42"/>
      <c r="Q15" s="42"/>
      <c r="R15" s="42"/>
      <c r="S15" s="42"/>
      <c r="T15" s="42"/>
      <c r="U15" s="42"/>
      <c r="V15" s="42"/>
      <c r="W15" s="42"/>
      <c r="X15" s="42"/>
      <c r="Y15" s="42"/>
      <c r="Z15" s="42"/>
    </row>
    <row r="16" ht="57.0" customHeight="1">
      <c r="A16" s="57" t="s">
        <v>247</v>
      </c>
      <c r="B16" s="57" t="s">
        <v>75</v>
      </c>
      <c r="C16" s="57" t="s">
        <v>282</v>
      </c>
      <c r="D16" s="57" t="s">
        <v>283</v>
      </c>
      <c r="E16" s="57" t="s">
        <v>284</v>
      </c>
      <c r="F16" s="58">
        <v>4800000.0</v>
      </c>
      <c r="G16" s="57" t="s">
        <v>251</v>
      </c>
      <c r="H16" s="59" t="s">
        <v>252</v>
      </c>
      <c r="I16" s="60" t="s">
        <v>253</v>
      </c>
      <c r="J16" s="61"/>
      <c r="K16" s="61"/>
      <c r="L16" s="42"/>
      <c r="M16" s="42"/>
      <c r="N16" s="42"/>
      <c r="O16" s="42"/>
      <c r="P16" s="42"/>
      <c r="Q16" s="42"/>
      <c r="R16" s="42"/>
      <c r="S16" s="42"/>
      <c r="T16" s="42"/>
      <c r="U16" s="42"/>
      <c r="V16" s="42"/>
      <c r="W16" s="42"/>
      <c r="X16" s="42"/>
      <c r="Y16" s="42"/>
      <c r="Z16" s="42"/>
    </row>
    <row r="17" ht="57.0" customHeight="1">
      <c r="A17" s="57" t="s">
        <v>247</v>
      </c>
      <c r="B17" s="57" t="s">
        <v>75</v>
      </c>
      <c r="C17" s="57" t="s">
        <v>285</v>
      </c>
      <c r="D17" s="57" t="s">
        <v>286</v>
      </c>
      <c r="E17" s="57" t="s">
        <v>287</v>
      </c>
      <c r="F17" s="58">
        <v>1200000.0</v>
      </c>
      <c r="G17" s="57" t="s">
        <v>251</v>
      </c>
      <c r="H17" s="59" t="s">
        <v>252</v>
      </c>
      <c r="I17" s="60" t="s">
        <v>253</v>
      </c>
      <c r="J17" s="61"/>
      <c r="K17" s="61"/>
      <c r="L17" s="42"/>
      <c r="M17" s="42"/>
      <c r="N17" s="42"/>
      <c r="O17" s="42"/>
      <c r="P17" s="42"/>
      <c r="Q17" s="42"/>
      <c r="R17" s="42"/>
      <c r="S17" s="42"/>
      <c r="T17" s="42"/>
      <c r="U17" s="42"/>
      <c r="V17" s="42"/>
      <c r="W17" s="42"/>
      <c r="X17" s="42"/>
      <c r="Y17" s="42"/>
      <c r="Z17" s="42"/>
    </row>
    <row r="18" ht="57.0" customHeight="1">
      <c r="A18" s="57" t="s">
        <v>247</v>
      </c>
      <c r="B18" s="57" t="s">
        <v>75</v>
      </c>
      <c r="C18" s="57" t="s">
        <v>288</v>
      </c>
      <c r="D18" s="57" t="s">
        <v>289</v>
      </c>
      <c r="E18" s="57" t="s">
        <v>290</v>
      </c>
      <c r="F18" s="58">
        <v>2000000.0</v>
      </c>
      <c r="G18" s="57" t="s">
        <v>251</v>
      </c>
      <c r="H18" s="59" t="s">
        <v>252</v>
      </c>
      <c r="I18" s="60" t="s">
        <v>253</v>
      </c>
      <c r="J18" s="61"/>
      <c r="K18" s="61"/>
      <c r="L18" s="42"/>
      <c r="M18" s="42"/>
      <c r="N18" s="42"/>
      <c r="O18" s="42"/>
      <c r="P18" s="42"/>
      <c r="Q18" s="42"/>
      <c r="R18" s="42"/>
      <c r="S18" s="42"/>
      <c r="T18" s="42"/>
      <c r="U18" s="42"/>
      <c r="V18" s="42"/>
      <c r="W18" s="42"/>
      <c r="X18" s="42"/>
      <c r="Y18" s="42"/>
      <c r="Z18" s="42"/>
    </row>
    <row r="19" ht="57.0" customHeight="1">
      <c r="A19" s="57" t="s">
        <v>247</v>
      </c>
      <c r="B19" s="57" t="s">
        <v>75</v>
      </c>
      <c r="C19" s="57" t="s">
        <v>291</v>
      </c>
      <c r="D19" s="57" t="s">
        <v>292</v>
      </c>
      <c r="E19" s="57" t="s">
        <v>293</v>
      </c>
      <c r="F19" s="58">
        <v>2700000.0</v>
      </c>
      <c r="G19" s="57" t="s">
        <v>251</v>
      </c>
      <c r="H19" s="59" t="s">
        <v>252</v>
      </c>
      <c r="I19" s="60" t="s">
        <v>253</v>
      </c>
      <c r="J19" s="61"/>
      <c r="K19" s="61"/>
      <c r="L19" s="42"/>
      <c r="M19" s="42"/>
      <c r="N19" s="42"/>
      <c r="O19" s="42"/>
      <c r="P19" s="42"/>
      <c r="Q19" s="42"/>
      <c r="R19" s="42"/>
      <c r="S19" s="42"/>
      <c r="T19" s="42"/>
      <c r="U19" s="42"/>
      <c r="V19" s="42"/>
      <c r="W19" s="42"/>
      <c r="X19" s="42"/>
      <c r="Y19" s="42"/>
      <c r="Z19" s="42"/>
    </row>
    <row r="20" ht="85.5" customHeight="1">
      <c r="A20" s="57" t="s">
        <v>247</v>
      </c>
      <c r="B20" s="57" t="s">
        <v>75</v>
      </c>
      <c r="C20" s="57" t="s">
        <v>294</v>
      </c>
      <c r="D20" s="57" t="s">
        <v>295</v>
      </c>
      <c r="E20" s="57" t="s">
        <v>296</v>
      </c>
      <c r="F20" s="58">
        <v>3000000.0</v>
      </c>
      <c r="G20" s="57" t="s">
        <v>251</v>
      </c>
      <c r="H20" s="59" t="s">
        <v>252</v>
      </c>
      <c r="I20" s="60" t="s">
        <v>253</v>
      </c>
      <c r="J20" s="61"/>
      <c r="K20" s="61"/>
      <c r="L20" s="42"/>
      <c r="M20" s="42"/>
      <c r="N20" s="42"/>
      <c r="O20" s="42"/>
      <c r="P20" s="42"/>
      <c r="Q20" s="42"/>
      <c r="R20" s="42"/>
      <c r="S20" s="42"/>
      <c r="T20" s="42"/>
      <c r="U20" s="42"/>
      <c r="V20" s="42"/>
      <c r="W20" s="42"/>
      <c r="X20" s="42"/>
      <c r="Y20" s="42"/>
      <c r="Z20" s="42"/>
    </row>
    <row r="21" ht="57.0" customHeight="1">
      <c r="A21" s="57" t="s">
        <v>247</v>
      </c>
      <c r="B21" s="57" t="s">
        <v>75</v>
      </c>
      <c r="C21" s="57" t="s">
        <v>297</v>
      </c>
      <c r="D21" s="57" t="s">
        <v>298</v>
      </c>
      <c r="E21" s="57" t="s">
        <v>299</v>
      </c>
      <c r="F21" s="58">
        <v>5000000.0</v>
      </c>
      <c r="G21" s="57" t="s">
        <v>251</v>
      </c>
      <c r="H21" s="59" t="s">
        <v>252</v>
      </c>
      <c r="I21" s="60" t="s">
        <v>253</v>
      </c>
      <c r="J21" s="61"/>
      <c r="K21" s="61"/>
      <c r="L21" s="42"/>
      <c r="M21" s="42"/>
      <c r="N21" s="42"/>
      <c r="O21" s="42"/>
      <c r="P21" s="42"/>
      <c r="Q21" s="42"/>
      <c r="R21" s="42"/>
      <c r="S21" s="42"/>
      <c r="T21" s="42"/>
      <c r="U21" s="42"/>
      <c r="V21" s="42"/>
      <c r="W21" s="42"/>
      <c r="X21" s="42"/>
      <c r="Y21" s="42"/>
      <c r="Z21" s="42"/>
    </row>
    <row r="22" ht="57.0" customHeight="1">
      <c r="A22" s="57" t="s">
        <v>247</v>
      </c>
      <c r="B22" s="57" t="s">
        <v>75</v>
      </c>
      <c r="C22" s="57" t="s">
        <v>300</v>
      </c>
      <c r="D22" s="57" t="s">
        <v>301</v>
      </c>
      <c r="E22" s="57" t="s">
        <v>302</v>
      </c>
      <c r="F22" s="58">
        <v>5800000.0</v>
      </c>
      <c r="G22" s="57" t="s">
        <v>251</v>
      </c>
      <c r="H22" s="59" t="s">
        <v>252</v>
      </c>
      <c r="I22" s="60" t="s">
        <v>253</v>
      </c>
      <c r="J22" s="61"/>
      <c r="K22" s="61"/>
      <c r="L22" s="42"/>
      <c r="M22" s="42"/>
      <c r="N22" s="42"/>
      <c r="O22" s="42"/>
      <c r="P22" s="42"/>
      <c r="Q22" s="42"/>
      <c r="R22" s="42"/>
      <c r="S22" s="42"/>
      <c r="T22" s="42"/>
      <c r="U22" s="42"/>
      <c r="V22" s="42"/>
      <c r="W22" s="42"/>
      <c r="X22" s="42"/>
      <c r="Y22" s="42"/>
      <c r="Z22" s="42"/>
    </row>
    <row r="23" ht="57.0" customHeight="1">
      <c r="A23" s="57" t="s">
        <v>247</v>
      </c>
      <c r="B23" s="57" t="s">
        <v>75</v>
      </c>
      <c r="C23" s="57" t="s">
        <v>303</v>
      </c>
      <c r="D23" s="57" t="s">
        <v>304</v>
      </c>
      <c r="E23" s="57" t="s">
        <v>305</v>
      </c>
      <c r="F23" s="58">
        <v>1000000.0</v>
      </c>
      <c r="G23" s="57" t="s">
        <v>251</v>
      </c>
      <c r="H23" s="59" t="s">
        <v>252</v>
      </c>
      <c r="I23" s="60" t="s">
        <v>253</v>
      </c>
      <c r="J23" s="61"/>
      <c r="K23" s="61"/>
      <c r="L23" s="42"/>
      <c r="M23" s="42"/>
      <c r="N23" s="42"/>
      <c r="O23" s="42"/>
      <c r="P23" s="42"/>
      <c r="Q23" s="42"/>
      <c r="R23" s="42"/>
      <c r="S23" s="42"/>
      <c r="T23" s="42"/>
      <c r="U23" s="42"/>
      <c r="V23" s="42"/>
      <c r="W23" s="42"/>
      <c r="X23" s="42"/>
      <c r="Y23" s="42"/>
      <c r="Z23" s="42"/>
    </row>
    <row r="24" ht="57.0" customHeight="1">
      <c r="A24" s="57" t="s">
        <v>247</v>
      </c>
      <c r="B24" s="57" t="s">
        <v>75</v>
      </c>
      <c r="C24" s="57" t="s">
        <v>306</v>
      </c>
      <c r="D24" s="57" t="s">
        <v>307</v>
      </c>
      <c r="E24" s="57" t="s">
        <v>308</v>
      </c>
      <c r="F24" s="58">
        <v>2000000.0</v>
      </c>
      <c r="G24" s="57" t="s">
        <v>251</v>
      </c>
      <c r="H24" s="59" t="s">
        <v>252</v>
      </c>
      <c r="I24" s="60" t="s">
        <v>253</v>
      </c>
      <c r="J24" s="61"/>
      <c r="K24" s="61"/>
      <c r="L24" s="42"/>
      <c r="M24" s="42"/>
      <c r="N24" s="42"/>
      <c r="O24" s="42"/>
      <c r="P24" s="42"/>
      <c r="Q24" s="42"/>
      <c r="R24" s="42"/>
      <c r="S24" s="42"/>
      <c r="T24" s="42"/>
      <c r="U24" s="42"/>
      <c r="V24" s="42"/>
      <c r="W24" s="42"/>
      <c r="X24" s="42"/>
      <c r="Y24" s="42"/>
      <c r="Z24" s="42"/>
    </row>
    <row r="25" ht="57.0" customHeight="1">
      <c r="A25" s="57" t="s">
        <v>247</v>
      </c>
      <c r="B25" s="57" t="s">
        <v>75</v>
      </c>
      <c r="C25" s="57" t="s">
        <v>309</v>
      </c>
      <c r="D25" s="57" t="s">
        <v>310</v>
      </c>
      <c r="E25" s="57" t="s">
        <v>311</v>
      </c>
      <c r="F25" s="58">
        <v>3500000.0</v>
      </c>
      <c r="G25" s="57" t="s">
        <v>251</v>
      </c>
      <c r="H25" s="59" t="s">
        <v>252</v>
      </c>
      <c r="I25" s="60" t="s">
        <v>253</v>
      </c>
      <c r="J25" s="61"/>
      <c r="K25" s="61"/>
      <c r="L25" s="42"/>
      <c r="M25" s="42"/>
      <c r="N25" s="42"/>
      <c r="O25" s="42"/>
      <c r="P25" s="42"/>
      <c r="Q25" s="42"/>
      <c r="R25" s="42"/>
      <c r="S25" s="42"/>
      <c r="T25" s="42"/>
      <c r="U25" s="42"/>
      <c r="V25" s="42"/>
      <c r="W25" s="42"/>
      <c r="X25" s="42"/>
      <c r="Y25" s="42"/>
      <c r="Z25" s="42"/>
    </row>
    <row r="26" ht="57.0" customHeight="1">
      <c r="A26" s="57" t="s">
        <v>247</v>
      </c>
      <c r="B26" s="57" t="s">
        <v>75</v>
      </c>
      <c r="C26" s="57" t="s">
        <v>312</v>
      </c>
      <c r="D26" s="57" t="s">
        <v>313</v>
      </c>
      <c r="E26" s="57" t="s">
        <v>314</v>
      </c>
      <c r="F26" s="58">
        <v>4600000.0</v>
      </c>
      <c r="G26" s="57" t="s">
        <v>251</v>
      </c>
      <c r="H26" s="59" t="s">
        <v>252</v>
      </c>
      <c r="I26" s="60" t="s">
        <v>253</v>
      </c>
      <c r="J26" s="61"/>
      <c r="K26" s="61"/>
      <c r="L26" s="42"/>
      <c r="M26" s="42"/>
      <c r="N26" s="42"/>
      <c r="O26" s="42"/>
      <c r="P26" s="42"/>
      <c r="Q26" s="42"/>
      <c r="R26" s="42"/>
      <c r="S26" s="42"/>
      <c r="T26" s="42"/>
      <c r="U26" s="42"/>
      <c r="V26" s="42"/>
      <c r="W26" s="42"/>
      <c r="X26" s="42"/>
      <c r="Y26" s="42"/>
      <c r="Z26" s="42"/>
    </row>
    <row r="27" ht="57.0" customHeight="1">
      <c r="A27" s="57" t="s">
        <v>247</v>
      </c>
      <c r="B27" s="57" t="s">
        <v>75</v>
      </c>
      <c r="C27" s="57" t="s">
        <v>315</v>
      </c>
      <c r="D27" s="57" t="s">
        <v>316</v>
      </c>
      <c r="E27" s="57" t="s">
        <v>317</v>
      </c>
      <c r="F27" s="58">
        <v>6500000.0</v>
      </c>
      <c r="G27" s="57" t="s">
        <v>251</v>
      </c>
      <c r="H27" s="59" t="s">
        <v>252</v>
      </c>
      <c r="I27" s="60" t="s">
        <v>253</v>
      </c>
      <c r="J27" s="61"/>
      <c r="K27" s="61"/>
      <c r="L27" s="42"/>
      <c r="M27" s="42"/>
      <c r="N27" s="42"/>
      <c r="O27" s="42"/>
      <c r="P27" s="42"/>
      <c r="Q27" s="42"/>
      <c r="R27" s="42"/>
      <c r="S27" s="42"/>
      <c r="T27" s="42"/>
      <c r="U27" s="42"/>
      <c r="V27" s="42"/>
      <c r="W27" s="42"/>
      <c r="X27" s="42"/>
      <c r="Y27" s="42"/>
      <c r="Z27" s="42"/>
    </row>
    <row r="28" ht="57.0" customHeight="1">
      <c r="A28" s="57" t="s">
        <v>247</v>
      </c>
      <c r="B28" s="57" t="s">
        <v>75</v>
      </c>
      <c r="C28" s="57" t="s">
        <v>318</v>
      </c>
      <c r="D28" s="57" t="s">
        <v>319</v>
      </c>
      <c r="E28" s="57" t="s">
        <v>320</v>
      </c>
      <c r="F28" s="58">
        <v>1.0E7</v>
      </c>
      <c r="G28" s="57" t="s">
        <v>251</v>
      </c>
      <c r="H28" s="59" t="s">
        <v>252</v>
      </c>
      <c r="I28" s="60" t="s">
        <v>253</v>
      </c>
      <c r="J28" s="61"/>
      <c r="K28" s="61"/>
      <c r="L28" s="42"/>
      <c r="M28" s="42"/>
      <c r="N28" s="42"/>
      <c r="O28" s="42"/>
      <c r="P28" s="42"/>
      <c r="Q28" s="42"/>
      <c r="R28" s="42"/>
      <c r="S28" s="42"/>
      <c r="T28" s="42"/>
      <c r="U28" s="42"/>
      <c r="V28" s="42"/>
      <c r="W28" s="42"/>
      <c r="X28" s="42"/>
      <c r="Y28" s="42"/>
      <c r="Z28" s="42"/>
    </row>
    <row r="29" ht="57.0" customHeight="1">
      <c r="A29" s="57" t="s">
        <v>247</v>
      </c>
      <c r="B29" s="57" t="s">
        <v>75</v>
      </c>
      <c r="C29" s="57" t="s">
        <v>321</v>
      </c>
      <c r="D29" s="57" t="s">
        <v>322</v>
      </c>
      <c r="E29" s="57" t="s">
        <v>323</v>
      </c>
      <c r="F29" s="58">
        <v>1.2E7</v>
      </c>
      <c r="G29" s="57" t="s">
        <v>251</v>
      </c>
      <c r="H29" s="59" t="s">
        <v>252</v>
      </c>
      <c r="I29" s="60" t="s">
        <v>253</v>
      </c>
      <c r="J29" s="61"/>
      <c r="K29" s="61"/>
      <c r="L29" s="42"/>
      <c r="M29" s="42"/>
      <c r="N29" s="42"/>
      <c r="O29" s="42"/>
      <c r="P29" s="42"/>
      <c r="Q29" s="42"/>
      <c r="R29" s="42"/>
      <c r="S29" s="42"/>
      <c r="T29" s="42"/>
      <c r="U29" s="42"/>
      <c r="V29" s="42"/>
      <c r="W29" s="42"/>
      <c r="X29" s="42"/>
      <c r="Y29" s="42"/>
      <c r="Z29" s="42"/>
    </row>
    <row r="30" ht="30.75" customHeight="1">
      <c r="A30" s="52" t="s">
        <v>247</v>
      </c>
      <c r="B30" s="52" t="s">
        <v>78</v>
      </c>
      <c r="C30" s="52" t="s">
        <v>79</v>
      </c>
      <c r="D30" s="52" t="s">
        <v>80</v>
      </c>
      <c r="E30" s="52"/>
      <c r="F30" s="62"/>
      <c r="G30" s="52"/>
      <c r="H30" s="63"/>
      <c r="I30" s="63"/>
      <c r="J30" s="54"/>
      <c r="K30" s="54"/>
      <c r="L30" s="56"/>
      <c r="M30" s="56"/>
      <c r="N30" s="56"/>
      <c r="O30" s="56"/>
      <c r="P30" s="56"/>
      <c r="Q30" s="56"/>
      <c r="R30" s="56"/>
      <c r="S30" s="56"/>
      <c r="T30" s="56"/>
      <c r="U30" s="56"/>
      <c r="V30" s="56"/>
      <c r="W30" s="56"/>
      <c r="X30" s="56"/>
      <c r="Y30" s="56"/>
      <c r="Z30" s="56"/>
    </row>
    <row r="31" ht="57.0" customHeight="1">
      <c r="A31" s="57" t="s">
        <v>247</v>
      </c>
      <c r="B31" s="57" t="s">
        <v>78</v>
      </c>
      <c r="C31" s="57" t="s">
        <v>324</v>
      </c>
      <c r="D31" s="57" t="s">
        <v>325</v>
      </c>
      <c r="E31" s="57" t="s">
        <v>326</v>
      </c>
      <c r="F31" s="58">
        <v>25000.0</v>
      </c>
      <c r="G31" s="57" t="s">
        <v>251</v>
      </c>
      <c r="H31" s="59" t="s">
        <v>252</v>
      </c>
      <c r="I31" s="60" t="s">
        <v>253</v>
      </c>
      <c r="J31" s="61"/>
      <c r="K31" s="61"/>
      <c r="L31" s="42"/>
      <c r="M31" s="42"/>
      <c r="N31" s="42"/>
      <c r="O31" s="42"/>
      <c r="P31" s="42"/>
      <c r="Q31" s="42"/>
      <c r="R31" s="42"/>
      <c r="S31" s="42"/>
      <c r="T31" s="42"/>
      <c r="U31" s="42"/>
      <c r="V31" s="42"/>
      <c r="W31" s="42"/>
      <c r="X31" s="42"/>
      <c r="Y31" s="42"/>
      <c r="Z31" s="42"/>
    </row>
    <row r="32" ht="57.0" customHeight="1">
      <c r="A32" s="57" t="s">
        <v>247</v>
      </c>
      <c r="B32" s="57" t="s">
        <v>78</v>
      </c>
      <c r="C32" s="57" t="s">
        <v>327</v>
      </c>
      <c r="D32" s="57" t="s">
        <v>328</v>
      </c>
      <c r="E32" s="57" t="s">
        <v>329</v>
      </c>
      <c r="F32" s="58">
        <v>100000.0</v>
      </c>
      <c r="G32" s="57" t="s">
        <v>251</v>
      </c>
      <c r="H32" s="59" t="s">
        <v>252</v>
      </c>
      <c r="I32" s="60" t="s">
        <v>253</v>
      </c>
      <c r="J32" s="61"/>
      <c r="K32" s="61"/>
      <c r="L32" s="42"/>
      <c r="M32" s="42"/>
      <c r="N32" s="42"/>
      <c r="O32" s="42"/>
      <c r="P32" s="42"/>
      <c r="Q32" s="42"/>
      <c r="R32" s="42"/>
      <c r="S32" s="42"/>
      <c r="T32" s="42"/>
      <c r="U32" s="42"/>
      <c r="V32" s="42"/>
      <c r="W32" s="42"/>
      <c r="X32" s="42"/>
      <c r="Y32" s="42"/>
      <c r="Z32" s="42"/>
    </row>
    <row r="33" ht="57.0" customHeight="1">
      <c r="A33" s="57" t="s">
        <v>247</v>
      </c>
      <c r="B33" s="57" t="s">
        <v>78</v>
      </c>
      <c r="C33" s="57" t="s">
        <v>330</v>
      </c>
      <c r="D33" s="57" t="s">
        <v>331</v>
      </c>
      <c r="E33" s="57" t="s">
        <v>332</v>
      </c>
      <c r="F33" s="58">
        <v>280000.0</v>
      </c>
      <c r="G33" s="57" t="s">
        <v>251</v>
      </c>
      <c r="H33" s="59" t="s">
        <v>252</v>
      </c>
      <c r="I33" s="60" t="s">
        <v>253</v>
      </c>
      <c r="J33" s="61"/>
      <c r="K33" s="61"/>
      <c r="L33" s="42"/>
      <c r="M33" s="42"/>
      <c r="N33" s="42"/>
      <c r="O33" s="42"/>
      <c r="P33" s="42"/>
      <c r="Q33" s="42"/>
      <c r="R33" s="42"/>
      <c r="S33" s="42"/>
      <c r="T33" s="42"/>
      <c r="U33" s="42"/>
      <c r="V33" s="42"/>
      <c r="W33" s="42"/>
      <c r="X33" s="42"/>
      <c r="Y33" s="42"/>
      <c r="Z33" s="42"/>
    </row>
    <row r="34" ht="57.0" customHeight="1">
      <c r="A34" s="57" t="s">
        <v>247</v>
      </c>
      <c r="B34" s="57" t="s">
        <v>78</v>
      </c>
      <c r="C34" s="57" t="s">
        <v>333</v>
      </c>
      <c r="D34" s="57" t="s">
        <v>334</v>
      </c>
      <c r="E34" s="57" t="s">
        <v>335</v>
      </c>
      <c r="F34" s="58">
        <v>350000.0</v>
      </c>
      <c r="G34" s="57" t="s">
        <v>251</v>
      </c>
      <c r="H34" s="59" t="s">
        <v>252</v>
      </c>
      <c r="I34" s="60" t="s">
        <v>253</v>
      </c>
      <c r="J34" s="61"/>
      <c r="K34" s="61"/>
      <c r="L34" s="42"/>
      <c r="M34" s="42"/>
      <c r="N34" s="42"/>
      <c r="O34" s="42"/>
      <c r="P34" s="42"/>
      <c r="Q34" s="42"/>
      <c r="R34" s="42"/>
      <c r="S34" s="42"/>
      <c r="T34" s="42"/>
      <c r="U34" s="42"/>
      <c r="V34" s="42"/>
      <c r="W34" s="42"/>
      <c r="X34" s="42"/>
      <c r="Y34" s="42"/>
      <c r="Z34" s="42"/>
    </row>
    <row r="35" ht="57.0" customHeight="1">
      <c r="A35" s="57" t="s">
        <v>247</v>
      </c>
      <c r="B35" s="57" t="s">
        <v>78</v>
      </c>
      <c r="C35" s="57" t="s">
        <v>336</v>
      </c>
      <c r="D35" s="57" t="s">
        <v>337</v>
      </c>
      <c r="E35" s="57" t="s">
        <v>338</v>
      </c>
      <c r="F35" s="58">
        <v>380000.0</v>
      </c>
      <c r="G35" s="57" t="s">
        <v>251</v>
      </c>
      <c r="H35" s="59" t="s">
        <v>252</v>
      </c>
      <c r="I35" s="60" t="s">
        <v>253</v>
      </c>
      <c r="J35" s="61"/>
      <c r="K35" s="61"/>
      <c r="L35" s="42"/>
      <c r="M35" s="42"/>
      <c r="N35" s="42"/>
      <c r="O35" s="42"/>
      <c r="P35" s="42"/>
      <c r="Q35" s="42"/>
      <c r="R35" s="42"/>
      <c r="S35" s="42"/>
      <c r="T35" s="42"/>
      <c r="U35" s="42"/>
      <c r="V35" s="42"/>
      <c r="W35" s="42"/>
      <c r="X35" s="42"/>
      <c r="Y35" s="42"/>
      <c r="Z35" s="42"/>
    </row>
    <row r="36" ht="57.0" customHeight="1">
      <c r="A36" s="57" t="s">
        <v>247</v>
      </c>
      <c r="B36" s="57" t="s">
        <v>78</v>
      </c>
      <c r="C36" s="57" t="s">
        <v>339</v>
      </c>
      <c r="D36" s="57" t="s">
        <v>340</v>
      </c>
      <c r="E36" s="57" t="s">
        <v>341</v>
      </c>
      <c r="F36" s="58">
        <v>400000.0</v>
      </c>
      <c r="G36" s="57" t="s">
        <v>251</v>
      </c>
      <c r="H36" s="59" t="s">
        <v>252</v>
      </c>
      <c r="I36" s="60" t="s">
        <v>253</v>
      </c>
      <c r="J36" s="61"/>
      <c r="K36" s="61"/>
      <c r="L36" s="42"/>
      <c r="M36" s="42"/>
      <c r="N36" s="42"/>
      <c r="O36" s="42"/>
      <c r="P36" s="42"/>
      <c r="Q36" s="42"/>
      <c r="R36" s="42"/>
      <c r="S36" s="42"/>
      <c r="T36" s="42"/>
      <c r="U36" s="42"/>
      <c r="V36" s="42"/>
      <c r="W36" s="42"/>
      <c r="X36" s="42"/>
      <c r="Y36" s="42"/>
      <c r="Z36" s="42"/>
    </row>
    <row r="37" ht="57.0" customHeight="1">
      <c r="A37" s="57" t="s">
        <v>247</v>
      </c>
      <c r="B37" s="57" t="s">
        <v>78</v>
      </c>
      <c r="C37" s="57" t="s">
        <v>342</v>
      </c>
      <c r="D37" s="57" t="s">
        <v>343</v>
      </c>
      <c r="E37" s="57" t="s">
        <v>344</v>
      </c>
      <c r="F37" s="58">
        <v>400000.0</v>
      </c>
      <c r="G37" s="57" t="s">
        <v>251</v>
      </c>
      <c r="H37" s="59" t="s">
        <v>252</v>
      </c>
      <c r="I37" s="60" t="s">
        <v>253</v>
      </c>
      <c r="J37" s="61"/>
      <c r="K37" s="61"/>
      <c r="L37" s="42"/>
      <c r="M37" s="42"/>
      <c r="N37" s="42"/>
      <c r="O37" s="42"/>
      <c r="P37" s="42"/>
      <c r="Q37" s="42"/>
      <c r="R37" s="42"/>
      <c r="S37" s="42"/>
      <c r="T37" s="42"/>
      <c r="U37" s="42"/>
      <c r="V37" s="42"/>
      <c r="W37" s="42"/>
      <c r="X37" s="42"/>
      <c r="Y37" s="42"/>
      <c r="Z37" s="42"/>
    </row>
    <row r="38" ht="57.0" customHeight="1">
      <c r="A38" s="57" t="s">
        <v>247</v>
      </c>
      <c r="B38" s="57" t="s">
        <v>78</v>
      </c>
      <c r="C38" s="57" t="s">
        <v>345</v>
      </c>
      <c r="D38" s="57" t="s">
        <v>346</v>
      </c>
      <c r="E38" s="57" t="s">
        <v>347</v>
      </c>
      <c r="F38" s="58">
        <v>500000.0</v>
      </c>
      <c r="G38" s="57" t="s">
        <v>251</v>
      </c>
      <c r="H38" s="59" t="s">
        <v>252</v>
      </c>
      <c r="I38" s="60" t="s">
        <v>253</v>
      </c>
      <c r="J38" s="61"/>
      <c r="K38" s="61"/>
      <c r="L38" s="42"/>
      <c r="M38" s="42"/>
      <c r="N38" s="42"/>
      <c r="O38" s="42"/>
      <c r="P38" s="42"/>
      <c r="Q38" s="42"/>
      <c r="R38" s="42"/>
      <c r="S38" s="42"/>
      <c r="T38" s="42"/>
      <c r="U38" s="42"/>
      <c r="V38" s="42"/>
      <c r="W38" s="42"/>
      <c r="X38" s="42"/>
      <c r="Y38" s="42"/>
      <c r="Z38" s="42"/>
    </row>
    <row r="39" ht="57.0" customHeight="1">
      <c r="A39" s="57" t="s">
        <v>247</v>
      </c>
      <c r="B39" s="57" t="s">
        <v>78</v>
      </c>
      <c r="C39" s="57" t="s">
        <v>348</v>
      </c>
      <c r="D39" s="57" t="s">
        <v>349</v>
      </c>
      <c r="E39" s="57" t="s">
        <v>350</v>
      </c>
      <c r="F39" s="58">
        <v>500000.0</v>
      </c>
      <c r="G39" s="57" t="s">
        <v>251</v>
      </c>
      <c r="H39" s="59" t="s">
        <v>252</v>
      </c>
      <c r="I39" s="60" t="s">
        <v>253</v>
      </c>
      <c r="J39" s="61"/>
      <c r="K39" s="61"/>
      <c r="L39" s="42"/>
      <c r="M39" s="42"/>
      <c r="N39" s="42"/>
      <c r="O39" s="42"/>
      <c r="P39" s="42"/>
      <c r="Q39" s="42"/>
      <c r="R39" s="42"/>
      <c r="S39" s="42"/>
      <c r="T39" s="42"/>
      <c r="U39" s="42"/>
      <c r="V39" s="42"/>
      <c r="W39" s="42"/>
      <c r="X39" s="42"/>
      <c r="Y39" s="42"/>
      <c r="Z39" s="42"/>
    </row>
    <row r="40" ht="57.0" customHeight="1">
      <c r="A40" s="57" t="s">
        <v>247</v>
      </c>
      <c r="B40" s="57" t="s">
        <v>78</v>
      </c>
      <c r="C40" s="57" t="s">
        <v>351</v>
      </c>
      <c r="D40" s="57" t="s">
        <v>352</v>
      </c>
      <c r="E40" s="57" t="s">
        <v>353</v>
      </c>
      <c r="F40" s="58">
        <v>600000.0</v>
      </c>
      <c r="G40" s="57" t="s">
        <v>251</v>
      </c>
      <c r="H40" s="59" t="s">
        <v>252</v>
      </c>
      <c r="I40" s="60" t="s">
        <v>253</v>
      </c>
      <c r="J40" s="61"/>
      <c r="K40" s="61"/>
      <c r="L40" s="42"/>
      <c r="M40" s="42"/>
      <c r="N40" s="42"/>
      <c r="O40" s="42"/>
      <c r="P40" s="42"/>
      <c r="Q40" s="42"/>
      <c r="R40" s="42"/>
      <c r="S40" s="42"/>
      <c r="T40" s="42"/>
      <c r="U40" s="42"/>
      <c r="V40" s="42"/>
      <c r="W40" s="42"/>
      <c r="X40" s="42"/>
      <c r="Y40" s="42"/>
      <c r="Z40" s="42"/>
    </row>
    <row r="41" ht="57.0" customHeight="1">
      <c r="A41" s="57" t="s">
        <v>247</v>
      </c>
      <c r="B41" s="57" t="s">
        <v>78</v>
      </c>
      <c r="C41" s="57" t="s">
        <v>354</v>
      </c>
      <c r="D41" s="57" t="s">
        <v>355</v>
      </c>
      <c r="E41" s="57" t="s">
        <v>356</v>
      </c>
      <c r="F41" s="58">
        <v>600000.0</v>
      </c>
      <c r="G41" s="57" t="s">
        <v>251</v>
      </c>
      <c r="H41" s="59" t="s">
        <v>252</v>
      </c>
      <c r="I41" s="60" t="s">
        <v>253</v>
      </c>
      <c r="J41" s="61"/>
      <c r="K41" s="61"/>
      <c r="L41" s="42"/>
      <c r="M41" s="42"/>
      <c r="N41" s="42"/>
      <c r="O41" s="42"/>
      <c r="P41" s="42"/>
      <c r="Q41" s="42"/>
      <c r="R41" s="42"/>
      <c r="S41" s="42"/>
      <c r="T41" s="42"/>
      <c r="U41" s="42"/>
      <c r="V41" s="42"/>
      <c r="W41" s="42"/>
      <c r="X41" s="42"/>
      <c r="Y41" s="42"/>
      <c r="Z41" s="42"/>
    </row>
    <row r="42" ht="57.0" customHeight="1">
      <c r="A42" s="57" t="s">
        <v>247</v>
      </c>
      <c r="B42" s="57" t="s">
        <v>78</v>
      </c>
      <c r="C42" s="57" t="s">
        <v>357</v>
      </c>
      <c r="D42" s="57" t="s">
        <v>358</v>
      </c>
      <c r="E42" s="57" t="s">
        <v>359</v>
      </c>
      <c r="F42" s="58">
        <v>650000.0</v>
      </c>
      <c r="G42" s="57" t="s">
        <v>251</v>
      </c>
      <c r="H42" s="59" t="s">
        <v>252</v>
      </c>
      <c r="I42" s="60" t="s">
        <v>253</v>
      </c>
      <c r="J42" s="61"/>
      <c r="K42" s="61"/>
      <c r="L42" s="42"/>
      <c r="M42" s="42"/>
      <c r="N42" s="42"/>
      <c r="O42" s="42"/>
      <c r="P42" s="42"/>
      <c r="Q42" s="42"/>
      <c r="R42" s="42"/>
      <c r="S42" s="42"/>
      <c r="T42" s="42"/>
      <c r="U42" s="42"/>
      <c r="V42" s="42"/>
      <c r="W42" s="42"/>
      <c r="X42" s="42"/>
      <c r="Y42" s="42"/>
      <c r="Z42" s="42"/>
    </row>
    <row r="43" ht="57.0" customHeight="1">
      <c r="A43" s="57" t="s">
        <v>247</v>
      </c>
      <c r="B43" s="57" t="s">
        <v>78</v>
      </c>
      <c r="C43" s="57" t="s">
        <v>360</v>
      </c>
      <c r="D43" s="57" t="s">
        <v>361</v>
      </c>
      <c r="E43" s="57" t="s">
        <v>362</v>
      </c>
      <c r="F43" s="58">
        <v>700000.0</v>
      </c>
      <c r="G43" s="57" t="s">
        <v>251</v>
      </c>
      <c r="H43" s="59" t="s">
        <v>252</v>
      </c>
      <c r="I43" s="60" t="s">
        <v>253</v>
      </c>
      <c r="J43" s="61"/>
      <c r="K43" s="61"/>
      <c r="L43" s="42"/>
      <c r="M43" s="42"/>
      <c r="N43" s="42"/>
      <c r="O43" s="42"/>
      <c r="P43" s="42"/>
      <c r="Q43" s="42"/>
      <c r="R43" s="42"/>
      <c r="S43" s="42"/>
      <c r="T43" s="42"/>
      <c r="U43" s="42"/>
      <c r="V43" s="42"/>
      <c r="W43" s="42"/>
      <c r="X43" s="42"/>
      <c r="Y43" s="42"/>
      <c r="Z43" s="42"/>
    </row>
    <row r="44" ht="57.0" customHeight="1">
      <c r="A44" s="57" t="s">
        <v>247</v>
      </c>
      <c r="B44" s="57" t="s">
        <v>78</v>
      </c>
      <c r="C44" s="57" t="s">
        <v>363</v>
      </c>
      <c r="D44" s="57" t="s">
        <v>364</v>
      </c>
      <c r="E44" s="57" t="s">
        <v>365</v>
      </c>
      <c r="F44" s="58">
        <v>700000.0</v>
      </c>
      <c r="G44" s="57" t="s">
        <v>251</v>
      </c>
      <c r="H44" s="59" t="s">
        <v>252</v>
      </c>
      <c r="I44" s="60" t="s">
        <v>253</v>
      </c>
      <c r="J44" s="61"/>
      <c r="K44" s="61"/>
      <c r="L44" s="42"/>
      <c r="M44" s="42"/>
      <c r="N44" s="42"/>
      <c r="O44" s="42"/>
      <c r="P44" s="42"/>
      <c r="Q44" s="42"/>
      <c r="R44" s="42"/>
      <c r="S44" s="42"/>
      <c r="T44" s="42"/>
      <c r="U44" s="42"/>
      <c r="V44" s="42"/>
      <c r="W44" s="42"/>
      <c r="X44" s="42"/>
      <c r="Y44" s="42"/>
      <c r="Z44" s="42"/>
    </row>
    <row r="45" ht="57.0" customHeight="1">
      <c r="A45" s="57" t="s">
        <v>247</v>
      </c>
      <c r="B45" s="57" t="s">
        <v>78</v>
      </c>
      <c r="C45" s="57" t="s">
        <v>366</v>
      </c>
      <c r="D45" s="57" t="s">
        <v>367</v>
      </c>
      <c r="E45" s="57" t="s">
        <v>368</v>
      </c>
      <c r="F45" s="58">
        <v>1000000.0</v>
      </c>
      <c r="G45" s="57" t="s">
        <v>251</v>
      </c>
      <c r="H45" s="59" t="s">
        <v>252</v>
      </c>
      <c r="I45" s="60" t="s">
        <v>253</v>
      </c>
      <c r="J45" s="61"/>
      <c r="K45" s="61"/>
      <c r="L45" s="42"/>
      <c r="M45" s="42"/>
      <c r="N45" s="42"/>
      <c r="O45" s="42"/>
      <c r="P45" s="42"/>
      <c r="Q45" s="42"/>
      <c r="R45" s="42"/>
      <c r="S45" s="42"/>
      <c r="T45" s="42"/>
      <c r="U45" s="42"/>
      <c r="V45" s="42"/>
      <c r="W45" s="42"/>
      <c r="X45" s="42"/>
      <c r="Y45" s="42"/>
      <c r="Z45" s="42"/>
    </row>
    <row r="46" ht="57.0" customHeight="1">
      <c r="A46" s="57" t="s">
        <v>247</v>
      </c>
      <c r="B46" s="57" t="s">
        <v>78</v>
      </c>
      <c r="C46" s="57" t="s">
        <v>369</v>
      </c>
      <c r="D46" s="57" t="s">
        <v>370</v>
      </c>
      <c r="E46" s="57" t="s">
        <v>371</v>
      </c>
      <c r="F46" s="58">
        <v>1000000.0</v>
      </c>
      <c r="G46" s="57" t="s">
        <v>251</v>
      </c>
      <c r="H46" s="59" t="s">
        <v>252</v>
      </c>
      <c r="I46" s="60" t="s">
        <v>253</v>
      </c>
      <c r="J46" s="61"/>
      <c r="K46" s="61"/>
      <c r="L46" s="42"/>
      <c r="M46" s="42"/>
      <c r="N46" s="42"/>
      <c r="O46" s="42"/>
      <c r="P46" s="42"/>
      <c r="Q46" s="42"/>
      <c r="R46" s="42"/>
      <c r="S46" s="42"/>
      <c r="T46" s="42"/>
      <c r="U46" s="42"/>
      <c r="V46" s="42"/>
      <c r="W46" s="42"/>
      <c r="X46" s="42"/>
      <c r="Y46" s="42"/>
      <c r="Z46" s="42"/>
    </row>
    <row r="47" ht="57.0" customHeight="1">
      <c r="A47" s="57" t="s">
        <v>247</v>
      </c>
      <c r="B47" s="57" t="s">
        <v>78</v>
      </c>
      <c r="C47" s="57" t="s">
        <v>372</v>
      </c>
      <c r="D47" s="57" t="s">
        <v>373</v>
      </c>
      <c r="E47" s="57" t="s">
        <v>374</v>
      </c>
      <c r="F47" s="58">
        <v>1000000.0</v>
      </c>
      <c r="G47" s="57" t="s">
        <v>251</v>
      </c>
      <c r="H47" s="59" t="s">
        <v>252</v>
      </c>
      <c r="I47" s="60" t="s">
        <v>253</v>
      </c>
      <c r="J47" s="61"/>
      <c r="K47" s="61"/>
      <c r="L47" s="42"/>
      <c r="M47" s="42"/>
      <c r="N47" s="42"/>
      <c r="O47" s="42"/>
      <c r="P47" s="42"/>
      <c r="Q47" s="42"/>
      <c r="R47" s="42"/>
      <c r="S47" s="42"/>
      <c r="T47" s="42"/>
      <c r="U47" s="42"/>
      <c r="V47" s="42"/>
      <c r="W47" s="42"/>
      <c r="X47" s="42"/>
      <c r="Y47" s="42"/>
      <c r="Z47" s="42"/>
    </row>
    <row r="48" ht="57.0" customHeight="1">
      <c r="A48" s="57" t="s">
        <v>247</v>
      </c>
      <c r="B48" s="57" t="s">
        <v>78</v>
      </c>
      <c r="C48" s="57" t="s">
        <v>375</v>
      </c>
      <c r="D48" s="57" t="s">
        <v>376</v>
      </c>
      <c r="E48" s="57" t="s">
        <v>377</v>
      </c>
      <c r="F48" s="58">
        <v>1000000.0</v>
      </c>
      <c r="G48" s="57" t="s">
        <v>251</v>
      </c>
      <c r="H48" s="59" t="s">
        <v>252</v>
      </c>
      <c r="I48" s="60" t="s">
        <v>253</v>
      </c>
      <c r="J48" s="61"/>
      <c r="K48" s="61"/>
      <c r="L48" s="42"/>
      <c r="M48" s="42"/>
      <c r="N48" s="42"/>
      <c r="O48" s="42"/>
      <c r="P48" s="42"/>
      <c r="Q48" s="42"/>
      <c r="R48" s="42"/>
      <c r="S48" s="42"/>
      <c r="T48" s="42"/>
      <c r="U48" s="42"/>
      <c r="V48" s="42"/>
      <c r="W48" s="42"/>
      <c r="X48" s="42"/>
      <c r="Y48" s="42"/>
      <c r="Z48" s="42"/>
    </row>
    <row r="49" ht="57.0" customHeight="1">
      <c r="A49" s="57" t="s">
        <v>247</v>
      </c>
      <c r="B49" s="57" t="s">
        <v>78</v>
      </c>
      <c r="C49" s="57" t="s">
        <v>378</v>
      </c>
      <c r="D49" s="57" t="s">
        <v>379</v>
      </c>
      <c r="E49" s="57" t="s">
        <v>380</v>
      </c>
      <c r="F49" s="58">
        <v>1200000.0</v>
      </c>
      <c r="G49" s="57" t="s">
        <v>251</v>
      </c>
      <c r="H49" s="59" t="s">
        <v>252</v>
      </c>
      <c r="I49" s="60" t="s">
        <v>253</v>
      </c>
      <c r="J49" s="61"/>
      <c r="K49" s="61"/>
      <c r="L49" s="42"/>
      <c r="M49" s="42"/>
      <c r="N49" s="42"/>
      <c r="O49" s="42"/>
      <c r="P49" s="42"/>
      <c r="Q49" s="42"/>
      <c r="R49" s="42"/>
      <c r="S49" s="42"/>
      <c r="T49" s="42"/>
      <c r="U49" s="42"/>
      <c r="V49" s="42"/>
      <c r="W49" s="42"/>
      <c r="X49" s="42"/>
      <c r="Y49" s="42"/>
      <c r="Z49" s="42"/>
    </row>
    <row r="50" ht="57.0" customHeight="1">
      <c r="A50" s="57" t="s">
        <v>247</v>
      </c>
      <c r="B50" s="57" t="s">
        <v>78</v>
      </c>
      <c r="C50" s="57" t="s">
        <v>381</v>
      </c>
      <c r="D50" s="57" t="s">
        <v>382</v>
      </c>
      <c r="E50" s="57" t="s">
        <v>383</v>
      </c>
      <c r="F50" s="58">
        <v>1200000.0</v>
      </c>
      <c r="G50" s="57" t="s">
        <v>251</v>
      </c>
      <c r="H50" s="59" t="s">
        <v>252</v>
      </c>
      <c r="I50" s="60" t="s">
        <v>253</v>
      </c>
      <c r="J50" s="61"/>
      <c r="K50" s="61"/>
      <c r="L50" s="42"/>
      <c r="M50" s="42"/>
      <c r="N50" s="42"/>
      <c r="O50" s="42"/>
      <c r="P50" s="42"/>
      <c r="Q50" s="42"/>
      <c r="R50" s="42"/>
      <c r="S50" s="42"/>
      <c r="T50" s="42"/>
      <c r="U50" s="42"/>
      <c r="V50" s="42"/>
      <c r="W50" s="42"/>
      <c r="X50" s="42"/>
      <c r="Y50" s="42"/>
      <c r="Z50" s="42"/>
    </row>
    <row r="51" ht="57.0" customHeight="1">
      <c r="A51" s="57" t="s">
        <v>247</v>
      </c>
      <c r="B51" s="57" t="s">
        <v>78</v>
      </c>
      <c r="C51" s="57" t="s">
        <v>384</v>
      </c>
      <c r="D51" s="57" t="s">
        <v>385</v>
      </c>
      <c r="E51" s="57" t="s">
        <v>386</v>
      </c>
      <c r="F51" s="58">
        <v>1200000.0</v>
      </c>
      <c r="G51" s="57" t="s">
        <v>251</v>
      </c>
      <c r="H51" s="59" t="s">
        <v>252</v>
      </c>
      <c r="I51" s="60" t="s">
        <v>253</v>
      </c>
      <c r="J51" s="61"/>
      <c r="K51" s="61"/>
      <c r="L51" s="42"/>
      <c r="M51" s="42"/>
      <c r="N51" s="42"/>
      <c r="O51" s="42"/>
      <c r="P51" s="42"/>
      <c r="Q51" s="42"/>
      <c r="R51" s="42"/>
      <c r="S51" s="42"/>
      <c r="T51" s="42"/>
      <c r="U51" s="42"/>
      <c r="V51" s="42"/>
      <c r="W51" s="42"/>
      <c r="X51" s="42"/>
      <c r="Y51" s="42"/>
      <c r="Z51" s="42"/>
    </row>
    <row r="52" ht="57.0" customHeight="1">
      <c r="A52" s="57" t="s">
        <v>247</v>
      </c>
      <c r="B52" s="57" t="s">
        <v>78</v>
      </c>
      <c r="C52" s="57" t="s">
        <v>387</v>
      </c>
      <c r="D52" s="57" t="s">
        <v>388</v>
      </c>
      <c r="E52" s="57" t="s">
        <v>389</v>
      </c>
      <c r="F52" s="58">
        <v>1200000.0</v>
      </c>
      <c r="G52" s="57" t="s">
        <v>251</v>
      </c>
      <c r="H52" s="59" t="s">
        <v>252</v>
      </c>
      <c r="I52" s="60" t="s">
        <v>253</v>
      </c>
      <c r="J52" s="61"/>
      <c r="K52" s="61"/>
      <c r="L52" s="42"/>
      <c r="M52" s="42"/>
      <c r="N52" s="42"/>
      <c r="O52" s="42"/>
      <c r="P52" s="42"/>
      <c r="Q52" s="42"/>
      <c r="R52" s="42"/>
      <c r="S52" s="42"/>
      <c r="T52" s="42"/>
      <c r="U52" s="42"/>
      <c r="V52" s="42"/>
      <c r="W52" s="42"/>
      <c r="X52" s="42"/>
      <c r="Y52" s="42"/>
      <c r="Z52" s="42"/>
    </row>
    <row r="53" ht="57.0" customHeight="1">
      <c r="A53" s="57" t="s">
        <v>247</v>
      </c>
      <c r="B53" s="57" t="s">
        <v>78</v>
      </c>
      <c r="C53" s="57" t="s">
        <v>390</v>
      </c>
      <c r="D53" s="57" t="s">
        <v>391</v>
      </c>
      <c r="E53" s="57" t="s">
        <v>392</v>
      </c>
      <c r="F53" s="58">
        <v>1300000.0</v>
      </c>
      <c r="G53" s="57" t="s">
        <v>251</v>
      </c>
      <c r="H53" s="59" t="s">
        <v>252</v>
      </c>
      <c r="I53" s="60" t="s">
        <v>253</v>
      </c>
      <c r="J53" s="61"/>
      <c r="K53" s="61"/>
      <c r="L53" s="42"/>
      <c r="M53" s="42"/>
      <c r="N53" s="42"/>
      <c r="O53" s="42"/>
      <c r="P53" s="42"/>
      <c r="Q53" s="42"/>
      <c r="R53" s="42"/>
      <c r="S53" s="42"/>
      <c r="T53" s="42"/>
      <c r="U53" s="42"/>
      <c r="V53" s="42"/>
      <c r="W53" s="42"/>
      <c r="X53" s="42"/>
      <c r="Y53" s="42"/>
      <c r="Z53" s="42"/>
    </row>
    <row r="54" ht="57.0" customHeight="1">
      <c r="A54" s="57" t="s">
        <v>247</v>
      </c>
      <c r="B54" s="57" t="s">
        <v>78</v>
      </c>
      <c r="C54" s="57" t="s">
        <v>393</v>
      </c>
      <c r="D54" s="57" t="s">
        <v>394</v>
      </c>
      <c r="E54" s="57" t="s">
        <v>395</v>
      </c>
      <c r="F54" s="58">
        <v>1400000.0</v>
      </c>
      <c r="G54" s="57" t="s">
        <v>251</v>
      </c>
      <c r="H54" s="59" t="s">
        <v>252</v>
      </c>
      <c r="I54" s="60" t="s">
        <v>253</v>
      </c>
      <c r="J54" s="61"/>
      <c r="K54" s="61"/>
      <c r="L54" s="42"/>
      <c r="M54" s="42"/>
      <c r="N54" s="42"/>
      <c r="O54" s="42"/>
      <c r="P54" s="42"/>
      <c r="Q54" s="42"/>
      <c r="R54" s="42"/>
      <c r="S54" s="42"/>
      <c r="T54" s="42"/>
      <c r="U54" s="42"/>
      <c r="V54" s="42"/>
      <c r="W54" s="42"/>
      <c r="X54" s="42"/>
      <c r="Y54" s="42"/>
      <c r="Z54" s="42"/>
    </row>
    <row r="55" ht="57.0" customHeight="1">
      <c r="A55" s="57" t="s">
        <v>247</v>
      </c>
      <c r="B55" s="57" t="s">
        <v>78</v>
      </c>
      <c r="C55" s="57" t="s">
        <v>396</v>
      </c>
      <c r="D55" s="57" t="s">
        <v>397</v>
      </c>
      <c r="E55" s="57" t="s">
        <v>398</v>
      </c>
      <c r="F55" s="58">
        <v>1400000.0</v>
      </c>
      <c r="G55" s="57" t="s">
        <v>251</v>
      </c>
      <c r="H55" s="59" t="s">
        <v>252</v>
      </c>
      <c r="I55" s="60" t="s">
        <v>253</v>
      </c>
      <c r="J55" s="61"/>
      <c r="K55" s="61"/>
      <c r="L55" s="42"/>
      <c r="M55" s="42"/>
      <c r="N55" s="42"/>
      <c r="O55" s="42"/>
      <c r="P55" s="42"/>
      <c r="Q55" s="42"/>
      <c r="R55" s="42"/>
      <c r="S55" s="42"/>
      <c r="T55" s="42"/>
      <c r="U55" s="42"/>
      <c r="V55" s="42"/>
      <c r="W55" s="42"/>
      <c r="X55" s="42"/>
      <c r="Y55" s="42"/>
      <c r="Z55" s="42"/>
    </row>
    <row r="56" ht="57.0" customHeight="1">
      <c r="A56" s="57" t="s">
        <v>247</v>
      </c>
      <c r="B56" s="57" t="s">
        <v>78</v>
      </c>
      <c r="C56" s="57" t="s">
        <v>399</v>
      </c>
      <c r="D56" s="57" t="s">
        <v>400</v>
      </c>
      <c r="E56" s="57" t="s">
        <v>401</v>
      </c>
      <c r="F56" s="58">
        <v>1500000.0</v>
      </c>
      <c r="G56" s="57" t="s">
        <v>251</v>
      </c>
      <c r="H56" s="59" t="s">
        <v>252</v>
      </c>
      <c r="I56" s="60" t="s">
        <v>253</v>
      </c>
      <c r="J56" s="61"/>
      <c r="K56" s="61"/>
      <c r="L56" s="42"/>
      <c r="M56" s="42"/>
      <c r="N56" s="42"/>
      <c r="O56" s="42"/>
      <c r="P56" s="42"/>
      <c r="Q56" s="42"/>
      <c r="R56" s="42"/>
      <c r="S56" s="42"/>
      <c r="T56" s="42"/>
      <c r="U56" s="42"/>
      <c r="V56" s="42"/>
      <c r="W56" s="42"/>
      <c r="X56" s="42"/>
      <c r="Y56" s="42"/>
      <c r="Z56" s="42"/>
    </row>
    <row r="57" ht="57.0" customHeight="1">
      <c r="A57" s="57" t="s">
        <v>247</v>
      </c>
      <c r="B57" s="57" t="s">
        <v>78</v>
      </c>
      <c r="C57" s="57" t="s">
        <v>402</v>
      </c>
      <c r="D57" s="57" t="s">
        <v>403</v>
      </c>
      <c r="E57" s="57" t="s">
        <v>404</v>
      </c>
      <c r="F57" s="58">
        <v>1500000.0</v>
      </c>
      <c r="G57" s="57" t="s">
        <v>251</v>
      </c>
      <c r="H57" s="59" t="s">
        <v>252</v>
      </c>
      <c r="I57" s="60" t="s">
        <v>253</v>
      </c>
      <c r="J57" s="61"/>
      <c r="K57" s="61"/>
      <c r="L57" s="42"/>
      <c r="M57" s="42"/>
      <c r="N57" s="42"/>
      <c r="O57" s="42"/>
      <c r="P57" s="42"/>
      <c r="Q57" s="42"/>
      <c r="R57" s="42"/>
      <c r="S57" s="42"/>
      <c r="T57" s="42"/>
      <c r="U57" s="42"/>
      <c r="V57" s="42"/>
      <c r="W57" s="42"/>
      <c r="X57" s="42"/>
      <c r="Y57" s="42"/>
      <c r="Z57" s="42"/>
    </row>
    <row r="58" ht="57.0" customHeight="1">
      <c r="A58" s="57" t="s">
        <v>247</v>
      </c>
      <c r="B58" s="57" t="s">
        <v>78</v>
      </c>
      <c r="C58" s="57" t="s">
        <v>405</v>
      </c>
      <c r="D58" s="57" t="s">
        <v>406</v>
      </c>
      <c r="E58" s="57" t="s">
        <v>407</v>
      </c>
      <c r="F58" s="58">
        <v>1500000.0</v>
      </c>
      <c r="G58" s="57" t="s">
        <v>251</v>
      </c>
      <c r="H58" s="59" t="s">
        <v>252</v>
      </c>
      <c r="I58" s="60" t="s">
        <v>253</v>
      </c>
      <c r="J58" s="61"/>
      <c r="K58" s="61"/>
      <c r="L58" s="42"/>
      <c r="M58" s="42"/>
      <c r="N58" s="42"/>
      <c r="O58" s="42"/>
      <c r="P58" s="42"/>
      <c r="Q58" s="42"/>
      <c r="R58" s="42"/>
      <c r="S58" s="42"/>
      <c r="T58" s="42"/>
      <c r="U58" s="42"/>
      <c r="V58" s="42"/>
      <c r="W58" s="42"/>
      <c r="X58" s="42"/>
      <c r="Y58" s="42"/>
      <c r="Z58" s="42"/>
    </row>
    <row r="59" ht="57.0" customHeight="1">
      <c r="A59" s="57" t="s">
        <v>247</v>
      </c>
      <c r="B59" s="57" t="s">
        <v>78</v>
      </c>
      <c r="C59" s="57" t="s">
        <v>408</v>
      </c>
      <c r="D59" s="57" t="s">
        <v>409</v>
      </c>
      <c r="E59" s="57" t="s">
        <v>410</v>
      </c>
      <c r="F59" s="58">
        <v>2000000.0</v>
      </c>
      <c r="G59" s="57" t="s">
        <v>251</v>
      </c>
      <c r="H59" s="59" t="s">
        <v>252</v>
      </c>
      <c r="I59" s="60" t="s">
        <v>253</v>
      </c>
      <c r="J59" s="61"/>
      <c r="K59" s="61"/>
      <c r="L59" s="42"/>
      <c r="M59" s="42"/>
      <c r="N59" s="42"/>
      <c r="O59" s="42"/>
      <c r="P59" s="42"/>
      <c r="Q59" s="42"/>
      <c r="R59" s="42"/>
      <c r="S59" s="42"/>
      <c r="T59" s="42"/>
      <c r="U59" s="42"/>
      <c r="V59" s="42"/>
      <c r="W59" s="42"/>
      <c r="X59" s="42"/>
      <c r="Y59" s="42"/>
      <c r="Z59" s="42"/>
    </row>
    <row r="60" ht="57.0" customHeight="1">
      <c r="A60" s="57" t="s">
        <v>247</v>
      </c>
      <c r="B60" s="57" t="s">
        <v>78</v>
      </c>
      <c r="C60" s="57" t="s">
        <v>411</v>
      </c>
      <c r="D60" s="57" t="s">
        <v>412</v>
      </c>
      <c r="E60" s="57" t="s">
        <v>413</v>
      </c>
      <c r="F60" s="58">
        <v>2000000.0</v>
      </c>
      <c r="G60" s="57" t="s">
        <v>251</v>
      </c>
      <c r="H60" s="59" t="s">
        <v>252</v>
      </c>
      <c r="I60" s="60" t="s">
        <v>253</v>
      </c>
      <c r="J60" s="61"/>
      <c r="K60" s="61"/>
      <c r="L60" s="42"/>
      <c r="M60" s="42"/>
      <c r="N60" s="42"/>
      <c r="O60" s="42"/>
      <c r="P60" s="42"/>
      <c r="Q60" s="42"/>
      <c r="R60" s="42"/>
      <c r="S60" s="42"/>
      <c r="T60" s="42"/>
      <c r="U60" s="42"/>
      <c r="V60" s="42"/>
      <c r="W60" s="42"/>
      <c r="X60" s="42"/>
      <c r="Y60" s="42"/>
      <c r="Z60" s="42"/>
    </row>
    <row r="61" ht="57.0" customHeight="1">
      <c r="A61" s="57" t="s">
        <v>247</v>
      </c>
      <c r="B61" s="57" t="s">
        <v>78</v>
      </c>
      <c r="C61" s="57" t="s">
        <v>414</v>
      </c>
      <c r="D61" s="57" t="s">
        <v>415</v>
      </c>
      <c r="E61" s="57" t="s">
        <v>416</v>
      </c>
      <c r="F61" s="58">
        <v>2000000.0</v>
      </c>
      <c r="G61" s="57" t="s">
        <v>251</v>
      </c>
      <c r="H61" s="59" t="s">
        <v>252</v>
      </c>
      <c r="I61" s="60" t="s">
        <v>253</v>
      </c>
      <c r="J61" s="61"/>
      <c r="K61" s="61"/>
      <c r="L61" s="42"/>
      <c r="M61" s="42"/>
      <c r="N61" s="42"/>
      <c r="O61" s="42"/>
      <c r="P61" s="42"/>
      <c r="Q61" s="42"/>
      <c r="R61" s="42"/>
      <c r="S61" s="42"/>
      <c r="T61" s="42"/>
      <c r="U61" s="42"/>
      <c r="V61" s="42"/>
      <c r="W61" s="42"/>
      <c r="X61" s="42"/>
      <c r="Y61" s="42"/>
      <c r="Z61" s="42"/>
    </row>
    <row r="62" ht="57.0" customHeight="1">
      <c r="A62" s="57" t="s">
        <v>247</v>
      </c>
      <c r="B62" s="57" t="s">
        <v>78</v>
      </c>
      <c r="C62" s="57" t="s">
        <v>417</v>
      </c>
      <c r="D62" s="57" t="s">
        <v>418</v>
      </c>
      <c r="E62" s="57" t="s">
        <v>419</v>
      </c>
      <c r="F62" s="58">
        <v>2000000.0</v>
      </c>
      <c r="G62" s="57" t="s">
        <v>251</v>
      </c>
      <c r="H62" s="59" t="s">
        <v>252</v>
      </c>
      <c r="I62" s="60" t="s">
        <v>253</v>
      </c>
      <c r="J62" s="61"/>
      <c r="K62" s="61"/>
      <c r="L62" s="42"/>
      <c r="M62" s="42"/>
      <c r="N62" s="42"/>
      <c r="O62" s="42"/>
      <c r="P62" s="42"/>
      <c r="Q62" s="42"/>
      <c r="R62" s="42"/>
      <c r="S62" s="42"/>
      <c r="T62" s="42"/>
      <c r="U62" s="42"/>
      <c r="V62" s="42"/>
      <c r="W62" s="42"/>
      <c r="X62" s="42"/>
      <c r="Y62" s="42"/>
      <c r="Z62" s="42"/>
    </row>
    <row r="63" ht="57.0" customHeight="1">
      <c r="A63" s="57" t="s">
        <v>247</v>
      </c>
      <c r="B63" s="57" t="s">
        <v>78</v>
      </c>
      <c r="C63" s="57" t="s">
        <v>420</v>
      </c>
      <c r="D63" s="57" t="s">
        <v>421</v>
      </c>
      <c r="E63" s="57" t="s">
        <v>422</v>
      </c>
      <c r="F63" s="58">
        <v>2000000.0</v>
      </c>
      <c r="G63" s="57" t="s">
        <v>251</v>
      </c>
      <c r="H63" s="59" t="s">
        <v>252</v>
      </c>
      <c r="I63" s="60" t="s">
        <v>253</v>
      </c>
      <c r="J63" s="61"/>
      <c r="K63" s="61"/>
      <c r="L63" s="42"/>
      <c r="M63" s="42"/>
      <c r="N63" s="42"/>
      <c r="O63" s="42"/>
      <c r="P63" s="42"/>
      <c r="Q63" s="42"/>
      <c r="R63" s="42"/>
      <c r="S63" s="42"/>
      <c r="T63" s="42"/>
      <c r="U63" s="42"/>
      <c r="V63" s="42"/>
      <c r="W63" s="42"/>
      <c r="X63" s="42"/>
      <c r="Y63" s="42"/>
      <c r="Z63" s="42"/>
    </row>
    <row r="64" ht="57.0" customHeight="1">
      <c r="A64" s="57" t="s">
        <v>247</v>
      </c>
      <c r="B64" s="57" t="s">
        <v>78</v>
      </c>
      <c r="C64" s="57" t="s">
        <v>423</v>
      </c>
      <c r="D64" s="57" t="s">
        <v>424</v>
      </c>
      <c r="E64" s="57" t="s">
        <v>425</v>
      </c>
      <c r="F64" s="58">
        <v>2200000.0</v>
      </c>
      <c r="G64" s="57" t="s">
        <v>251</v>
      </c>
      <c r="H64" s="59" t="s">
        <v>252</v>
      </c>
      <c r="I64" s="60" t="s">
        <v>253</v>
      </c>
      <c r="J64" s="61"/>
      <c r="K64" s="61"/>
      <c r="L64" s="42"/>
      <c r="M64" s="42"/>
      <c r="N64" s="42"/>
      <c r="O64" s="42"/>
      <c r="P64" s="42"/>
      <c r="Q64" s="42"/>
      <c r="R64" s="42"/>
      <c r="S64" s="42"/>
      <c r="T64" s="42"/>
      <c r="U64" s="42"/>
      <c r="V64" s="42"/>
      <c r="W64" s="42"/>
      <c r="X64" s="42"/>
      <c r="Y64" s="42"/>
      <c r="Z64" s="42"/>
    </row>
    <row r="65" ht="57.0" customHeight="1">
      <c r="A65" s="57" t="s">
        <v>247</v>
      </c>
      <c r="B65" s="57" t="s">
        <v>78</v>
      </c>
      <c r="C65" s="57" t="s">
        <v>426</v>
      </c>
      <c r="D65" s="57" t="s">
        <v>427</v>
      </c>
      <c r="E65" s="57" t="s">
        <v>428</v>
      </c>
      <c r="F65" s="58">
        <v>2400000.0</v>
      </c>
      <c r="G65" s="57" t="s">
        <v>251</v>
      </c>
      <c r="H65" s="59" t="s">
        <v>252</v>
      </c>
      <c r="I65" s="60" t="s">
        <v>253</v>
      </c>
      <c r="J65" s="61"/>
      <c r="K65" s="61"/>
      <c r="L65" s="42"/>
      <c r="M65" s="42"/>
      <c r="N65" s="42"/>
      <c r="O65" s="42"/>
      <c r="P65" s="42"/>
      <c r="Q65" s="42"/>
      <c r="R65" s="42"/>
      <c r="S65" s="42"/>
      <c r="T65" s="42"/>
      <c r="U65" s="42"/>
      <c r="V65" s="42"/>
      <c r="W65" s="42"/>
      <c r="X65" s="42"/>
      <c r="Y65" s="42"/>
      <c r="Z65" s="42"/>
    </row>
    <row r="66" ht="57.0" customHeight="1">
      <c r="A66" s="57" t="s">
        <v>247</v>
      </c>
      <c r="B66" s="57" t="s">
        <v>78</v>
      </c>
      <c r="C66" s="57" t="s">
        <v>429</v>
      </c>
      <c r="D66" s="57" t="s">
        <v>430</v>
      </c>
      <c r="E66" s="57" t="s">
        <v>431</v>
      </c>
      <c r="F66" s="58">
        <v>2500000.0</v>
      </c>
      <c r="G66" s="57" t="s">
        <v>251</v>
      </c>
      <c r="H66" s="59" t="s">
        <v>252</v>
      </c>
      <c r="I66" s="60" t="s">
        <v>253</v>
      </c>
      <c r="J66" s="61"/>
      <c r="K66" s="61"/>
      <c r="L66" s="42"/>
      <c r="M66" s="42"/>
      <c r="N66" s="42"/>
      <c r="O66" s="42"/>
      <c r="P66" s="42"/>
      <c r="Q66" s="42"/>
      <c r="R66" s="42"/>
      <c r="S66" s="42"/>
      <c r="T66" s="42"/>
      <c r="U66" s="42"/>
      <c r="V66" s="42"/>
      <c r="W66" s="42"/>
      <c r="X66" s="42"/>
      <c r="Y66" s="42"/>
      <c r="Z66" s="42"/>
    </row>
    <row r="67" ht="57.0" customHeight="1">
      <c r="A67" s="57" t="s">
        <v>247</v>
      </c>
      <c r="B67" s="57" t="s">
        <v>78</v>
      </c>
      <c r="C67" s="57" t="s">
        <v>432</v>
      </c>
      <c r="D67" s="57" t="s">
        <v>433</v>
      </c>
      <c r="E67" s="57" t="s">
        <v>434</v>
      </c>
      <c r="F67" s="58">
        <v>2500000.0</v>
      </c>
      <c r="G67" s="57" t="s">
        <v>251</v>
      </c>
      <c r="H67" s="59" t="s">
        <v>252</v>
      </c>
      <c r="I67" s="60" t="s">
        <v>253</v>
      </c>
      <c r="J67" s="61"/>
      <c r="K67" s="61"/>
      <c r="L67" s="42"/>
      <c r="M67" s="42"/>
      <c r="N67" s="42"/>
      <c r="O67" s="42"/>
      <c r="P67" s="42"/>
      <c r="Q67" s="42"/>
      <c r="R67" s="42"/>
      <c r="S67" s="42"/>
      <c r="T67" s="42"/>
      <c r="U67" s="42"/>
      <c r="V67" s="42"/>
      <c r="W67" s="42"/>
      <c r="X67" s="42"/>
      <c r="Y67" s="42"/>
      <c r="Z67" s="42"/>
    </row>
    <row r="68" ht="57.0" customHeight="1">
      <c r="A68" s="57" t="s">
        <v>247</v>
      </c>
      <c r="B68" s="57" t="s">
        <v>78</v>
      </c>
      <c r="C68" s="57" t="s">
        <v>435</v>
      </c>
      <c r="D68" s="57" t="s">
        <v>436</v>
      </c>
      <c r="E68" s="57" t="s">
        <v>437</v>
      </c>
      <c r="F68" s="58">
        <v>3000000.0</v>
      </c>
      <c r="G68" s="57" t="s">
        <v>251</v>
      </c>
      <c r="H68" s="59" t="s">
        <v>252</v>
      </c>
      <c r="I68" s="60" t="s">
        <v>253</v>
      </c>
      <c r="J68" s="61"/>
      <c r="K68" s="61"/>
      <c r="L68" s="42"/>
      <c r="M68" s="42"/>
      <c r="N68" s="42"/>
      <c r="O68" s="42"/>
      <c r="P68" s="42"/>
      <c r="Q68" s="42"/>
      <c r="R68" s="42"/>
      <c r="S68" s="42"/>
      <c r="T68" s="42"/>
      <c r="U68" s="42"/>
      <c r="V68" s="42"/>
      <c r="W68" s="42"/>
      <c r="X68" s="42"/>
      <c r="Y68" s="42"/>
      <c r="Z68" s="42"/>
    </row>
    <row r="69" ht="57.0" customHeight="1">
      <c r="A69" s="57" t="s">
        <v>247</v>
      </c>
      <c r="B69" s="57" t="s">
        <v>78</v>
      </c>
      <c r="C69" s="57" t="s">
        <v>438</v>
      </c>
      <c r="D69" s="57" t="s">
        <v>439</v>
      </c>
      <c r="E69" s="57" t="s">
        <v>440</v>
      </c>
      <c r="F69" s="58">
        <v>3000000.0</v>
      </c>
      <c r="G69" s="57" t="s">
        <v>251</v>
      </c>
      <c r="H69" s="59" t="s">
        <v>252</v>
      </c>
      <c r="I69" s="60" t="s">
        <v>253</v>
      </c>
      <c r="J69" s="61"/>
      <c r="K69" s="61"/>
      <c r="L69" s="42"/>
      <c r="M69" s="42"/>
      <c r="N69" s="42"/>
      <c r="O69" s="42"/>
      <c r="P69" s="42"/>
      <c r="Q69" s="42"/>
      <c r="R69" s="42"/>
      <c r="S69" s="42"/>
      <c r="T69" s="42"/>
      <c r="U69" s="42"/>
      <c r="V69" s="42"/>
      <c r="W69" s="42"/>
      <c r="X69" s="42"/>
      <c r="Y69" s="42"/>
      <c r="Z69" s="42"/>
    </row>
    <row r="70" ht="57.0" customHeight="1">
      <c r="A70" s="57" t="s">
        <v>247</v>
      </c>
      <c r="B70" s="57" t="s">
        <v>78</v>
      </c>
      <c r="C70" s="57" t="s">
        <v>441</v>
      </c>
      <c r="D70" s="57" t="s">
        <v>442</v>
      </c>
      <c r="E70" s="57" t="s">
        <v>443</v>
      </c>
      <c r="F70" s="58">
        <v>3700000.0</v>
      </c>
      <c r="G70" s="57" t="s">
        <v>251</v>
      </c>
      <c r="H70" s="59" t="s">
        <v>252</v>
      </c>
      <c r="I70" s="60" t="s">
        <v>253</v>
      </c>
      <c r="J70" s="61"/>
      <c r="K70" s="61"/>
      <c r="L70" s="42"/>
      <c r="M70" s="42"/>
      <c r="N70" s="42"/>
      <c r="O70" s="42"/>
      <c r="P70" s="42"/>
      <c r="Q70" s="42"/>
      <c r="R70" s="42"/>
      <c r="S70" s="42"/>
      <c r="T70" s="42"/>
      <c r="U70" s="42"/>
      <c r="V70" s="42"/>
      <c r="W70" s="42"/>
      <c r="X70" s="42"/>
      <c r="Y70" s="42"/>
      <c r="Z70" s="42"/>
    </row>
    <row r="71" ht="57.0" customHeight="1">
      <c r="A71" s="57" t="s">
        <v>247</v>
      </c>
      <c r="B71" s="57" t="s">
        <v>78</v>
      </c>
      <c r="C71" s="57" t="s">
        <v>444</v>
      </c>
      <c r="D71" s="57" t="s">
        <v>445</v>
      </c>
      <c r="E71" s="57" t="s">
        <v>446</v>
      </c>
      <c r="F71" s="58">
        <v>3800000.0</v>
      </c>
      <c r="G71" s="57" t="s">
        <v>251</v>
      </c>
      <c r="H71" s="59" t="s">
        <v>252</v>
      </c>
      <c r="I71" s="60" t="s">
        <v>253</v>
      </c>
      <c r="J71" s="61"/>
      <c r="K71" s="61"/>
      <c r="L71" s="42"/>
      <c r="M71" s="42"/>
      <c r="N71" s="42"/>
      <c r="O71" s="42"/>
      <c r="P71" s="42"/>
      <c r="Q71" s="42"/>
      <c r="R71" s="42"/>
      <c r="S71" s="42"/>
      <c r="T71" s="42"/>
      <c r="U71" s="42"/>
      <c r="V71" s="42"/>
      <c r="W71" s="42"/>
      <c r="X71" s="42"/>
      <c r="Y71" s="42"/>
      <c r="Z71" s="42"/>
    </row>
    <row r="72" ht="57.0" customHeight="1">
      <c r="A72" s="57" t="s">
        <v>247</v>
      </c>
      <c r="B72" s="57" t="s">
        <v>78</v>
      </c>
      <c r="C72" s="57" t="s">
        <v>447</v>
      </c>
      <c r="D72" s="57" t="s">
        <v>448</v>
      </c>
      <c r="E72" s="57" t="s">
        <v>428</v>
      </c>
      <c r="F72" s="58">
        <v>3800000.0</v>
      </c>
      <c r="G72" s="57" t="s">
        <v>251</v>
      </c>
      <c r="H72" s="59" t="s">
        <v>252</v>
      </c>
      <c r="I72" s="60" t="s">
        <v>253</v>
      </c>
      <c r="J72" s="61"/>
      <c r="K72" s="61"/>
      <c r="L72" s="42"/>
      <c r="M72" s="42"/>
      <c r="N72" s="42"/>
      <c r="O72" s="42"/>
      <c r="P72" s="42"/>
      <c r="Q72" s="42"/>
      <c r="R72" s="42"/>
      <c r="S72" s="42"/>
      <c r="T72" s="42"/>
      <c r="U72" s="42"/>
      <c r="V72" s="42"/>
      <c r="W72" s="42"/>
      <c r="X72" s="42"/>
      <c r="Y72" s="42"/>
      <c r="Z72" s="42"/>
    </row>
    <row r="73" ht="57.0" customHeight="1">
      <c r="A73" s="57" t="s">
        <v>247</v>
      </c>
      <c r="B73" s="57" t="s">
        <v>78</v>
      </c>
      <c r="C73" s="57" t="s">
        <v>449</v>
      </c>
      <c r="D73" s="57" t="s">
        <v>450</v>
      </c>
      <c r="E73" s="57" t="s">
        <v>451</v>
      </c>
      <c r="F73" s="58">
        <v>5000000.0</v>
      </c>
      <c r="G73" s="57" t="s">
        <v>251</v>
      </c>
      <c r="H73" s="59" t="s">
        <v>252</v>
      </c>
      <c r="I73" s="60" t="s">
        <v>253</v>
      </c>
      <c r="J73" s="61"/>
      <c r="K73" s="61"/>
      <c r="L73" s="42"/>
      <c r="M73" s="42"/>
      <c r="N73" s="42"/>
      <c r="O73" s="42"/>
      <c r="P73" s="42"/>
      <c r="Q73" s="42"/>
      <c r="R73" s="42"/>
      <c r="S73" s="42"/>
      <c r="T73" s="42"/>
      <c r="U73" s="42"/>
      <c r="V73" s="42"/>
      <c r="W73" s="42"/>
      <c r="X73" s="42"/>
      <c r="Y73" s="42"/>
      <c r="Z73" s="42"/>
    </row>
    <row r="74" ht="57.0" customHeight="1">
      <c r="A74" s="57" t="s">
        <v>247</v>
      </c>
      <c r="B74" s="57" t="s">
        <v>78</v>
      </c>
      <c r="C74" s="57" t="s">
        <v>452</v>
      </c>
      <c r="D74" s="57" t="s">
        <v>453</v>
      </c>
      <c r="E74" s="57" t="s">
        <v>454</v>
      </c>
      <c r="F74" s="58">
        <v>6000000.0</v>
      </c>
      <c r="G74" s="57" t="s">
        <v>251</v>
      </c>
      <c r="H74" s="59" t="s">
        <v>252</v>
      </c>
      <c r="I74" s="60" t="s">
        <v>253</v>
      </c>
      <c r="J74" s="61"/>
      <c r="K74" s="61"/>
      <c r="L74" s="42"/>
      <c r="M74" s="42"/>
      <c r="N74" s="42"/>
      <c r="O74" s="42"/>
      <c r="P74" s="42"/>
      <c r="Q74" s="42"/>
      <c r="R74" s="42"/>
      <c r="S74" s="42"/>
      <c r="T74" s="42"/>
      <c r="U74" s="42"/>
      <c r="V74" s="42"/>
      <c r="W74" s="42"/>
      <c r="X74" s="42"/>
      <c r="Y74" s="42"/>
      <c r="Z74" s="42"/>
    </row>
    <row r="75" ht="57.0" customHeight="1">
      <c r="A75" s="57" t="s">
        <v>247</v>
      </c>
      <c r="B75" s="57" t="s">
        <v>78</v>
      </c>
      <c r="C75" s="57" t="s">
        <v>455</v>
      </c>
      <c r="D75" s="57" t="s">
        <v>456</v>
      </c>
      <c r="E75" s="57" t="s">
        <v>457</v>
      </c>
      <c r="F75" s="58">
        <v>7000000.0</v>
      </c>
      <c r="G75" s="57" t="s">
        <v>251</v>
      </c>
      <c r="H75" s="59" t="s">
        <v>252</v>
      </c>
      <c r="I75" s="60" t="s">
        <v>253</v>
      </c>
      <c r="J75" s="61"/>
      <c r="K75" s="61"/>
      <c r="L75" s="42"/>
      <c r="M75" s="42"/>
      <c r="N75" s="42"/>
      <c r="O75" s="42"/>
      <c r="P75" s="42"/>
      <c r="Q75" s="42"/>
      <c r="R75" s="42"/>
      <c r="S75" s="42"/>
      <c r="T75" s="42"/>
      <c r="U75" s="42"/>
      <c r="V75" s="42"/>
      <c r="W75" s="42"/>
      <c r="X75" s="42"/>
      <c r="Y75" s="42"/>
      <c r="Z75" s="42"/>
    </row>
    <row r="76" ht="57.0" customHeight="1">
      <c r="A76" s="57" t="s">
        <v>247</v>
      </c>
      <c r="B76" s="57" t="s">
        <v>78</v>
      </c>
      <c r="C76" s="57" t="s">
        <v>458</v>
      </c>
      <c r="D76" s="57" t="s">
        <v>459</v>
      </c>
      <c r="E76" s="57" t="s">
        <v>460</v>
      </c>
      <c r="F76" s="58">
        <v>1.2E7</v>
      </c>
      <c r="G76" s="57" t="s">
        <v>251</v>
      </c>
      <c r="H76" s="59" t="s">
        <v>252</v>
      </c>
      <c r="I76" s="60" t="s">
        <v>253</v>
      </c>
      <c r="J76" s="61"/>
      <c r="K76" s="61"/>
      <c r="L76" s="42"/>
      <c r="M76" s="42"/>
      <c r="N76" s="42"/>
      <c r="O76" s="42"/>
      <c r="P76" s="42"/>
      <c r="Q76" s="42"/>
      <c r="R76" s="42"/>
      <c r="S76" s="42"/>
      <c r="T76" s="42"/>
      <c r="U76" s="42"/>
      <c r="V76" s="42"/>
      <c r="W76" s="42"/>
      <c r="X76" s="42"/>
      <c r="Y76" s="42"/>
      <c r="Z76" s="42"/>
    </row>
    <row r="77" ht="85.5" customHeight="1">
      <c r="A77" s="57" t="s">
        <v>247</v>
      </c>
      <c r="B77" s="57" t="s">
        <v>78</v>
      </c>
      <c r="C77" s="57" t="s">
        <v>461</v>
      </c>
      <c r="D77" s="57" t="s">
        <v>462</v>
      </c>
      <c r="E77" s="57" t="s">
        <v>463</v>
      </c>
      <c r="F77" s="58">
        <v>500000.0</v>
      </c>
      <c r="G77" s="57" t="s">
        <v>251</v>
      </c>
      <c r="H77" s="59" t="s">
        <v>252</v>
      </c>
      <c r="I77" s="60" t="s">
        <v>253</v>
      </c>
      <c r="J77" s="61"/>
      <c r="K77" s="61"/>
      <c r="L77" s="42"/>
      <c r="M77" s="42"/>
      <c r="N77" s="42"/>
      <c r="O77" s="42"/>
      <c r="P77" s="42"/>
      <c r="Q77" s="42"/>
      <c r="R77" s="42"/>
      <c r="S77" s="42"/>
      <c r="T77" s="42"/>
      <c r="U77" s="42"/>
      <c r="V77" s="42"/>
      <c r="W77" s="42"/>
      <c r="X77" s="42"/>
      <c r="Y77" s="42"/>
      <c r="Z77" s="42"/>
    </row>
    <row r="78" ht="57.0" customHeight="1">
      <c r="A78" s="57" t="s">
        <v>247</v>
      </c>
      <c r="B78" s="57" t="s">
        <v>78</v>
      </c>
      <c r="C78" s="57" t="s">
        <v>464</v>
      </c>
      <c r="D78" s="57" t="s">
        <v>465</v>
      </c>
      <c r="E78" s="59" t="s">
        <v>466</v>
      </c>
      <c r="F78" s="65">
        <v>6000000.0</v>
      </c>
      <c r="G78" s="57" t="s">
        <v>467</v>
      </c>
      <c r="H78" s="59" t="s">
        <v>252</v>
      </c>
      <c r="I78" s="60" t="s">
        <v>468</v>
      </c>
      <c r="J78" s="61"/>
      <c r="K78" s="61"/>
      <c r="L78" s="42"/>
      <c r="M78" s="42"/>
      <c r="N78" s="42"/>
      <c r="O78" s="42"/>
      <c r="P78" s="42"/>
      <c r="Q78" s="42"/>
      <c r="R78" s="42"/>
      <c r="S78" s="42"/>
      <c r="T78" s="42"/>
      <c r="U78" s="42"/>
      <c r="V78" s="42"/>
      <c r="W78" s="42"/>
      <c r="X78" s="42"/>
      <c r="Y78" s="42"/>
      <c r="Z78" s="42"/>
    </row>
    <row r="79" ht="57.0" customHeight="1">
      <c r="A79" s="57" t="s">
        <v>247</v>
      </c>
      <c r="B79" s="57" t="s">
        <v>78</v>
      </c>
      <c r="C79" s="57" t="s">
        <v>469</v>
      </c>
      <c r="D79" s="57" t="s">
        <v>470</v>
      </c>
      <c r="E79" s="57" t="s">
        <v>471</v>
      </c>
      <c r="F79" s="58">
        <v>5500000.0</v>
      </c>
      <c r="G79" s="57" t="s">
        <v>251</v>
      </c>
      <c r="H79" s="59" t="s">
        <v>252</v>
      </c>
      <c r="I79" s="59" t="s">
        <v>472</v>
      </c>
      <c r="J79" s="61"/>
      <c r="K79" s="61"/>
      <c r="L79" s="42"/>
      <c r="M79" s="42"/>
      <c r="N79" s="42"/>
      <c r="O79" s="42"/>
      <c r="P79" s="42"/>
      <c r="Q79" s="42"/>
      <c r="R79" s="42"/>
      <c r="S79" s="42"/>
      <c r="T79" s="42"/>
      <c r="U79" s="42"/>
      <c r="V79" s="42"/>
      <c r="W79" s="42"/>
      <c r="X79" s="42"/>
      <c r="Y79" s="42"/>
      <c r="Z79" s="42"/>
    </row>
    <row r="80" ht="57.0" customHeight="1">
      <c r="A80" s="57" t="s">
        <v>247</v>
      </c>
      <c r="B80" s="57" t="s">
        <v>78</v>
      </c>
      <c r="C80" s="57" t="s">
        <v>473</v>
      </c>
      <c r="D80" s="57" t="s">
        <v>474</v>
      </c>
      <c r="E80" s="57" t="s">
        <v>475</v>
      </c>
      <c r="F80" s="58">
        <v>7815000.0</v>
      </c>
      <c r="G80" s="57" t="s">
        <v>467</v>
      </c>
      <c r="H80" s="59" t="s">
        <v>252</v>
      </c>
      <c r="I80" s="59" t="s">
        <v>472</v>
      </c>
      <c r="J80" s="61"/>
      <c r="K80" s="61"/>
      <c r="L80" s="42"/>
      <c r="M80" s="42"/>
      <c r="N80" s="42"/>
      <c r="O80" s="42"/>
      <c r="P80" s="42"/>
      <c r="Q80" s="42"/>
      <c r="R80" s="42"/>
      <c r="S80" s="42"/>
      <c r="T80" s="42"/>
      <c r="U80" s="42"/>
      <c r="V80" s="42"/>
      <c r="W80" s="42"/>
      <c r="X80" s="42"/>
      <c r="Y80" s="42"/>
      <c r="Z80" s="42"/>
    </row>
    <row r="81" ht="57.0" customHeight="1">
      <c r="A81" s="57" t="s">
        <v>247</v>
      </c>
      <c r="B81" s="57" t="s">
        <v>78</v>
      </c>
      <c r="C81" s="57" t="s">
        <v>476</v>
      </c>
      <c r="D81" s="57" t="s">
        <v>477</v>
      </c>
      <c r="E81" s="57" t="s">
        <v>478</v>
      </c>
      <c r="F81" s="58">
        <v>8000000.0</v>
      </c>
      <c r="G81" s="57" t="s">
        <v>467</v>
      </c>
      <c r="H81" s="59" t="s">
        <v>252</v>
      </c>
      <c r="I81" s="59" t="s">
        <v>472</v>
      </c>
      <c r="J81" s="61"/>
      <c r="K81" s="61"/>
      <c r="L81" s="42"/>
      <c r="M81" s="42"/>
      <c r="N81" s="42"/>
      <c r="O81" s="42"/>
      <c r="P81" s="42"/>
      <c r="Q81" s="42"/>
      <c r="R81" s="42"/>
      <c r="S81" s="42"/>
      <c r="T81" s="42"/>
      <c r="U81" s="42"/>
      <c r="V81" s="42"/>
      <c r="W81" s="42"/>
      <c r="X81" s="42"/>
      <c r="Y81" s="42"/>
      <c r="Z81" s="42"/>
    </row>
    <row r="82" ht="57.0" customHeight="1">
      <c r="A82" s="57" t="s">
        <v>247</v>
      </c>
      <c r="B82" s="57" t="s">
        <v>78</v>
      </c>
      <c r="C82" s="57" t="s">
        <v>479</v>
      </c>
      <c r="D82" s="57" t="s">
        <v>480</v>
      </c>
      <c r="E82" s="57" t="s">
        <v>481</v>
      </c>
      <c r="F82" s="58">
        <v>5000000.0</v>
      </c>
      <c r="G82" s="57" t="s">
        <v>467</v>
      </c>
      <c r="H82" s="59" t="s">
        <v>252</v>
      </c>
      <c r="I82" s="59" t="s">
        <v>472</v>
      </c>
      <c r="J82" s="61"/>
      <c r="K82" s="61"/>
      <c r="L82" s="42"/>
      <c r="M82" s="42"/>
      <c r="N82" s="42"/>
      <c r="O82" s="42"/>
      <c r="P82" s="42"/>
      <c r="Q82" s="42"/>
      <c r="R82" s="42"/>
      <c r="S82" s="42"/>
      <c r="T82" s="42"/>
      <c r="U82" s="42"/>
      <c r="V82" s="42"/>
      <c r="W82" s="42"/>
      <c r="X82" s="42"/>
      <c r="Y82" s="42"/>
      <c r="Z82" s="42"/>
    </row>
    <row r="83" ht="57.0" customHeight="1">
      <c r="A83" s="57" t="s">
        <v>247</v>
      </c>
      <c r="B83" s="57" t="s">
        <v>78</v>
      </c>
      <c r="C83" s="57" t="s">
        <v>482</v>
      </c>
      <c r="D83" s="57" t="s">
        <v>483</v>
      </c>
      <c r="E83" s="57" t="s">
        <v>484</v>
      </c>
      <c r="F83" s="58">
        <v>2500000.0</v>
      </c>
      <c r="G83" s="57" t="s">
        <v>467</v>
      </c>
      <c r="H83" s="59" t="s">
        <v>252</v>
      </c>
      <c r="I83" s="59" t="s">
        <v>472</v>
      </c>
      <c r="J83" s="61"/>
      <c r="K83" s="61"/>
      <c r="L83" s="42"/>
      <c r="M83" s="42"/>
      <c r="N83" s="42"/>
      <c r="O83" s="42"/>
      <c r="P83" s="42"/>
      <c r="Q83" s="42"/>
      <c r="R83" s="42"/>
      <c r="S83" s="42"/>
      <c r="T83" s="42"/>
      <c r="U83" s="42"/>
      <c r="V83" s="42"/>
      <c r="W83" s="42"/>
      <c r="X83" s="42"/>
      <c r="Y83" s="42"/>
      <c r="Z83" s="42"/>
    </row>
    <row r="84" ht="57.0" customHeight="1">
      <c r="A84" s="57" t="s">
        <v>247</v>
      </c>
      <c r="B84" s="57" t="s">
        <v>78</v>
      </c>
      <c r="C84" s="57" t="s">
        <v>485</v>
      </c>
      <c r="D84" s="57" t="s">
        <v>486</v>
      </c>
      <c r="E84" s="57" t="s">
        <v>487</v>
      </c>
      <c r="F84" s="58">
        <v>4000000.0</v>
      </c>
      <c r="G84" s="57" t="s">
        <v>467</v>
      </c>
      <c r="H84" s="59" t="s">
        <v>252</v>
      </c>
      <c r="I84" s="59" t="s">
        <v>472</v>
      </c>
      <c r="J84" s="61"/>
      <c r="K84" s="61"/>
      <c r="L84" s="42"/>
      <c r="M84" s="42"/>
      <c r="N84" s="42"/>
      <c r="O84" s="42"/>
      <c r="P84" s="42"/>
      <c r="Q84" s="42"/>
      <c r="R84" s="42"/>
      <c r="S84" s="42"/>
      <c r="T84" s="42"/>
      <c r="U84" s="42"/>
      <c r="V84" s="42"/>
      <c r="W84" s="42"/>
      <c r="X84" s="42"/>
      <c r="Y84" s="42"/>
      <c r="Z84" s="42"/>
    </row>
    <row r="85" ht="57.0" customHeight="1">
      <c r="A85" s="57" t="s">
        <v>247</v>
      </c>
      <c r="B85" s="57" t="s">
        <v>78</v>
      </c>
      <c r="C85" s="57" t="s">
        <v>488</v>
      </c>
      <c r="D85" s="57" t="s">
        <v>489</v>
      </c>
      <c r="E85" s="57" t="s">
        <v>490</v>
      </c>
      <c r="F85" s="58">
        <v>8500000.0</v>
      </c>
      <c r="G85" s="57" t="s">
        <v>467</v>
      </c>
      <c r="H85" s="59" t="s">
        <v>252</v>
      </c>
      <c r="I85" s="59" t="s">
        <v>472</v>
      </c>
      <c r="J85" s="61"/>
      <c r="K85" s="61"/>
      <c r="L85" s="42"/>
      <c r="M85" s="42"/>
      <c r="N85" s="42"/>
      <c r="O85" s="42"/>
      <c r="P85" s="42"/>
      <c r="Q85" s="42"/>
      <c r="R85" s="42"/>
      <c r="S85" s="42"/>
      <c r="T85" s="42"/>
      <c r="U85" s="42"/>
      <c r="V85" s="42"/>
      <c r="W85" s="42"/>
      <c r="X85" s="42"/>
      <c r="Y85" s="42"/>
      <c r="Z85" s="42"/>
    </row>
    <row r="86" ht="57.0" customHeight="1">
      <c r="A86" s="57" t="s">
        <v>247</v>
      </c>
      <c r="B86" s="57" t="s">
        <v>78</v>
      </c>
      <c r="C86" s="57" t="s">
        <v>491</v>
      </c>
      <c r="D86" s="57" t="s">
        <v>492</v>
      </c>
      <c r="E86" s="57" t="s">
        <v>493</v>
      </c>
      <c r="F86" s="58">
        <v>7000000.0</v>
      </c>
      <c r="G86" s="57" t="s">
        <v>467</v>
      </c>
      <c r="H86" s="59" t="s">
        <v>252</v>
      </c>
      <c r="I86" s="59" t="s">
        <v>472</v>
      </c>
      <c r="J86" s="61"/>
      <c r="K86" s="61"/>
      <c r="L86" s="42"/>
      <c r="M86" s="42"/>
      <c r="N86" s="42"/>
      <c r="O86" s="42"/>
      <c r="P86" s="42"/>
      <c r="Q86" s="42"/>
      <c r="R86" s="42"/>
      <c r="S86" s="42"/>
      <c r="T86" s="42"/>
      <c r="U86" s="42"/>
      <c r="V86" s="42"/>
      <c r="W86" s="42"/>
      <c r="X86" s="42"/>
      <c r="Y86" s="42"/>
      <c r="Z86" s="42"/>
    </row>
    <row r="87" ht="57.0" customHeight="1">
      <c r="A87" s="57" t="s">
        <v>247</v>
      </c>
      <c r="B87" s="57" t="s">
        <v>78</v>
      </c>
      <c r="C87" s="57" t="s">
        <v>494</v>
      </c>
      <c r="D87" s="57" t="s">
        <v>495</v>
      </c>
      <c r="E87" s="57" t="s">
        <v>496</v>
      </c>
      <c r="F87" s="58">
        <v>2200000.0</v>
      </c>
      <c r="G87" s="57" t="s">
        <v>251</v>
      </c>
      <c r="H87" s="59" t="s">
        <v>252</v>
      </c>
      <c r="I87" s="59" t="s">
        <v>472</v>
      </c>
      <c r="J87" s="61"/>
      <c r="K87" s="61"/>
      <c r="L87" s="42"/>
      <c r="M87" s="42"/>
      <c r="N87" s="42"/>
      <c r="O87" s="42"/>
      <c r="P87" s="42"/>
      <c r="Q87" s="42"/>
      <c r="R87" s="42"/>
      <c r="S87" s="42"/>
      <c r="T87" s="42"/>
      <c r="U87" s="42"/>
      <c r="V87" s="42"/>
      <c r="W87" s="42"/>
      <c r="X87" s="42"/>
      <c r="Y87" s="42"/>
      <c r="Z87" s="42"/>
    </row>
    <row r="88" ht="142.5" customHeight="1">
      <c r="A88" s="57" t="s">
        <v>247</v>
      </c>
      <c r="B88" s="57" t="s">
        <v>78</v>
      </c>
      <c r="C88" s="57" t="s">
        <v>497</v>
      </c>
      <c r="D88" s="57" t="s">
        <v>498</v>
      </c>
      <c r="E88" s="57" t="s">
        <v>499</v>
      </c>
      <c r="F88" s="58">
        <v>2600000.0</v>
      </c>
      <c r="G88" s="57" t="s">
        <v>251</v>
      </c>
      <c r="H88" s="59" t="s">
        <v>252</v>
      </c>
      <c r="I88" s="59" t="s">
        <v>472</v>
      </c>
      <c r="J88" s="61"/>
      <c r="K88" s="61"/>
      <c r="L88" s="42"/>
      <c r="M88" s="42"/>
      <c r="N88" s="42"/>
      <c r="O88" s="42"/>
      <c r="P88" s="42"/>
      <c r="Q88" s="42"/>
      <c r="R88" s="42"/>
      <c r="S88" s="42"/>
      <c r="T88" s="42"/>
      <c r="U88" s="42"/>
      <c r="V88" s="42"/>
      <c r="W88" s="42"/>
      <c r="X88" s="42"/>
      <c r="Y88" s="42"/>
      <c r="Z88" s="42"/>
    </row>
    <row r="89" ht="30.75" customHeight="1">
      <c r="A89" s="52" t="s">
        <v>247</v>
      </c>
      <c r="B89" s="52" t="s">
        <v>81</v>
      </c>
      <c r="C89" s="52" t="s">
        <v>82</v>
      </c>
      <c r="D89" s="52" t="s">
        <v>83</v>
      </c>
      <c r="E89" s="52"/>
      <c r="F89" s="62"/>
      <c r="G89" s="52"/>
      <c r="H89" s="63"/>
      <c r="I89" s="63"/>
      <c r="J89" s="54"/>
      <c r="K89" s="54"/>
      <c r="L89" s="56"/>
      <c r="M89" s="56"/>
      <c r="N89" s="56"/>
      <c r="O89" s="56"/>
      <c r="P89" s="56"/>
      <c r="Q89" s="56"/>
      <c r="R89" s="56"/>
      <c r="S89" s="56"/>
      <c r="T89" s="56"/>
      <c r="U89" s="56"/>
      <c r="V89" s="56"/>
      <c r="W89" s="56"/>
      <c r="X89" s="56"/>
      <c r="Y89" s="56"/>
      <c r="Z89" s="56"/>
    </row>
    <row r="90" ht="57.0" customHeight="1">
      <c r="A90" s="57" t="s">
        <v>247</v>
      </c>
      <c r="B90" s="57" t="s">
        <v>81</v>
      </c>
      <c r="C90" s="57" t="s">
        <v>500</v>
      </c>
      <c r="D90" s="57" t="s">
        <v>501</v>
      </c>
      <c r="E90" s="57" t="s">
        <v>502</v>
      </c>
      <c r="F90" s="58">
        <v>33000.0</v>
      </c>
      <c r="G90" s="57" t="s">
        <v>251</v>
      </c>
      <c r="H90" s="59" t="s">
        <v>252</v>
      </c>
      <c r="I90" s="60" t="s">
        <v>253</v>
      </c>
      <c r="J90" s="61"/>
      <c r="K90" s="61"/>
      <c r="L90" s="42"/>
      <c r="M90" s="42"/>
      <c r="N90" s="42"/>
      <c r="O90" s="42"/>
      <c r="P90" s="42"/>
      <c r="Q90" s="42"/>
      <c r="R90" s="42"/>
      <c r="S90" s="42"/>
      <c r="T90" s="42"/>
      <c r="U90" s="42"/>
      <c r="V90" s="42"/>
      <c r="W90" s="42"/>
      <c r="X90" s="42"/>
      <c r="Y90" s="42"/>
      <c r="Z90" s="42"/>
    </row>
    <row r="91" ht="30.75" customHeight="1">
      <c r="A91" s="57" t="s">
        <v>247</v>
      </c>
      <c r="B91" s="57" t="s">
        <v>81</v>
      </c>
      <c r="C91" s="57" t="s">
        <v>503</v>
      </c>
      <c r="D91" s="57" t="s">
        <v>504</v>
      </c>
      <c r="E91" s="57" t="s">
        <v>505</v>
      </c>
      <c r="F91" s="58">
        <v>38000.0</v>
      </c>
      <c r="G91" s="57" t="s">
        <v>251</v>
      </c>
      <c r="H91" s="59" t="s">
        <v>252</v>
      </c>
      <c r="I91" s="60" t="s">
        <v>253</v>
      </c>
      <c r="J91" s="61"/>
      <c r="K91" s="61"/>
      <c r="L91" s="42"/>
      <c r="M91" s="42"/>
      <c r="N91" s="42"/>
      <c r="O91" s="42"/>
      <c r="P91" s="42"/>
      <c r="Q91" s="42"/>
      <c r="R91" s="42"/>
      <c r="S91" s="42"/>
      <c r="T91" s="42"/>
      <c r="U91" s="42"/>
      <c r="V91" s="42"/>
      <c r="W91" s="42"/>
      <c r="X91" s="42"/>
      <c r="Y91" s="42"/>
      <c r="Z91" s="42"/>
    </row>
    <row r="92" ht="57.0" customHeight="1">
      <c r="A92" s="57" t="s">
        <v>247</v>
      </c>
      <c r="B92" s="57" t="s">
        <v>81</v>
      </c>
      <c r="C92" s="57" t="s">
        <v>506</v>
      </c>
      <c r="D92" s="57" t="s">
        <v>507</v>
      </c>
      <c r="E92" s="57" t="s">
        <v>508</v>
      </c>
      <c r="F92" s="58">
        <v>50000.0</v>
      </c>
      <c r="G92" s="57" t="s">
        <v>467</v>
      </c>
      <c r="H92" s="59" t="s">
        <v>252</v>
      </c>
      <c r="I92" s="60" t="s">
        <v>253</v>
      </c>
      <c r="J92" s="61"/>
      <c r="K92" s="61"/>
      <c r="L92" s="42"/>
      <c r="M92" s="42"/>
      <c r="N92" s="42"/>
      <c r="O92" s="42"/>
      <c r="P92" s="42"/>
      <c r="Q92" s="42"/>
      <c r="R92" s="42"/>
      <c r="S92" s="42"/>
      <c r="T92" s="42"/>
      <c r="U92" s="42"/>
      <c r="V92" s="42"/>
      <c r="W92" s="42"/>
      <c r="X92" s="42"/>
      <c r="Y92" s="42"/>
      <c r="Z92" s="42"/>
    </row>
    <row r="93" ht="57.0" customHeight="1">
      <c r="A93" s="57" t="s">
        <v>247</v>
      </c>
      <c r="B93" s="57" t="s">
        <v>81</v>
      </c>
      <c r="C93" s="57" t="s">
        <v>509</v>
      </c>
      <c r="D93" s="57" t="s">
        <v>510</v>
      </c>
      <c r="E93" s="57" t="s">
        <v>511</v>
      </c>
      <c r="F93" s="58">
        <v>54000.0</v>
      </c>
      <c r="G93" s="57" t="s">
        <v>512</v>
      </c>
      <c r="H93" s="59" t="s">
        <v>252</v>
      </c>
      <c r="I93" s="60" t="s">
        <v>253</v>
      </c>
      <c r="J93" s="61"/>
      <c r="K93" s="61"/>
      <c r="L93" s="42"/>
      <c r="M93" s="42"/>
      <c r="N93" s="42"/>
      <c r="O93" s="42"/>
      <c r="P93" s="42"/>
      <c r="Q93" s="42"/>
      <c r="R93" s="42"/>
      <c r="S93" s="42"/>
      <c r="T93" s="42"/>
      <c r="U93" s="42"/>
      <c r="V93" s="42"/>
      <c r="W93" s="42"/>
      <c r="X93" s="42"/>
      <c r="Y93" s="42"/>
      <c r="Z93" s="42"/>
    </row>
    <row r="94" ht="57.0" customHeight="1">
      <c r="A94" s="57" t="s">
        <v>247</v>
      </c>
      <c r="B94" s="57" t="s">
        <v>81</v>
      </c>
      <c r="C94" s="57" t="s">
        <v>513</v>
      </c>
      <c r="D94" s="57" t="s">
        <v>514</v>
      </c>
      <c r="E94" s="57" t="s">
        <v>515</v>
      </c>
      <c r="F94" s="58">
        <v>54000.0</v>
      </c>
      <c r="G94" s="57" t="s">
        <v>251</v>
      </c>
      <c r="H94" s="59" t="s">
        <v>252</v>
      </c>
      <c r="I94" s="60" t="s">
        <v>253</v>
      </c>
      <c r="J94" s="61"/>
      <c r="K94" s="61"/>
      <c r="L94" s="42"/>
      <c r="M94" s="42"/>
      <c r="N94" s="42"/>
      <c r="O94" s="42"/>
      <c r="P94" s="42"/>
      <c r="Q94" s="42"/>
      <c r="R94" s="42"/>
      <c r="S94" s="42"/>
      <c r="T94" s="42"/>
      <c r="U94" s="42"/>
      <c r="V94" s="42"/>
      <c r="W94" s="42"/>
      <c r="X94" s="42"/>
      <c r="Y94" s="42"/>
      <c r="Z94" s="42"/>
    </row>
    <row r="95" ht="30.75" customHeight="1">
      <c r="A95" s="57" t="s">
        <v>247</v>
      </c>
      <c r="B95" s="57" t="s">
        <v>81</v>
      </c>
      <c r="C95" s="57" t="s">
        <v>516</v>
      </c>
      <c r="D95" s="57" t="s">
        <v>517</v>
      </c>
      <c r="E95" s="57" t="s">
        <v>518</v>
      </c>
      <c r="F95" s="58">
        <v>60000.0</v>
      </c>
      <c r="G95" s="57" t="s">
        <v>251</v>
      </c>
      <c r="H95" s="59" t="s">
        <v>252</v>
      </c>
      <c r="I95" s="60" t="s">
        <v>253</v>
      </c>
      <c r="J95" s="61"/>
      <c r="K95" s="61"/>
      <c r="L95" s="42"/>
      <c r="M95" s="42"/>
      <c r="N95" s="42"/>
      <c r="O95" s="42"/>
      <c r="P95" s="42"/>
      <c r="Q95" s="42"/>
      <c r="R95" s="42"/>
      <c r="S95" s="42"/>
      <c r="T95" s="42"/>
      <c r="U95" s="42"/>
      <c r="V95" s="42"/>
      <c r="W95" s="42"/>
      <c r="X95" s="42"/>
      <c r="Y95" s="42"/>
      <c r="Z95" s="42"/>
    </row>
    <row r="96" ht="30.75" customHeight="1">
      <c r="A96" s="57" t="s">
        <v>247</v>
      </c>
      <c r="B96" s="57" t="s">
        <v>81</v>
      </c>
      <c r="C96" s="57" t="s">
        <v>519</v>
      </c>
      <c r="D96" s="57" t="s">
        <v>520</v>
      </c>
      <c r="E96" s="57" t="s">
        <v>521</v>
      </c>
      <c r="F96" s="58">
        <v>85000.0</v>
      </c>
      <c r="G96" s="57" t="s">
        <v>251</v>
      </c>
      <c r="H96" s="59" t="s">
        <v>252</v>
      </c>
      <c r="I96" s="60" t="s">
        <v>253</v>
      </c>
      <c r="J96" s="61"/>
      <c r="K96" s="61"/>
      <c r="L96" s="42"/>
      <c r="M96" s="42"/>
      <c r="N96" s="42"/>
      <c r="O96" s="42"/>
      <c r="P96" s="42"/>
      <c r="Q96" s="42"/>
      <c r="R96" s="42"/>
      <c r="S96" s="42"/>
      <c r="T96" s="42"/>
      <c r="U96" s="42"/>
      <c r="V96" s="42"/>
      <c r="W96" s="42"/>
      <c r="X96" s="42"/>
      <c r="Y96" s="42"/>
      <c r="Z96" s="42"/>
    </row>
    <row r="97" ht="57.0" customHeight="1">
      <c r="A97" s="57" t="s">
        <v>247</v>
      </c>
      <c r="B97" s="57" t="s">
        <v>81</v>
      </c>
      <c r="C97" s="57" t="s">
        <v>522</v>
      </c>
      <c r="D97" s="57" t="s">
        <v>523</v>
      </c>
      <c r="E97" s="57" t="s">
        <v>524</v>
      </c>
      <c r="F97" s="58">
        <v>85000.0</v>
      </c>
      <c r="G97" s="57" t="s">
        <v>512</v>
      </c>
      <c r="H97" s="59" t="s">
        <v>252</v>
      </c>
      <c r="I97" s="60" t="s">
        <v>253</v>
      </c>
      <c r="J97" s="61"/>
      <c r="K97" s="61"/>
      <c r="L97" s="42"/>
      <c r="M97" s="42"/>
      <c r="N97" s="42"/>
      <c r="O97" s="42"/>
      <c r="P97" s="42"/>
      <c r="Q97" s="42"/>
      <c r="R97" s="42"/>
      <c r="S97" s="42"/>
      <c r="T97" s="42"/>
      <c r="U97" s="42"/>
      <c r="V97" s="42"/>
      <c r="W97" s="42"/>
      <c r="X97" s="42"/>
      <c r="Y97" s="42"/>
      <c r="Z97" s="42"/>
    </row>
    <row r="98" ht="57.0" customHeight="1">
      <c r="A98" s="57" t="s">
        <v>247</v>
      </c>
      <c r="B98" s="57" t="s">
        <v>81</v>
      </c>
      <c r="C98" s="57" t="s">
        <v>525</v>
      </c>
      <c r="D98" s="57" t="s">
        <v>526</v>
      </c>
      <c r="E98" s="57" t="s">
        <v>527</v>
      </c>
      <c r="F98" s="58">
        <v>90000.0</v>
      </c>
      <c r="G98" s="57" t="s">
        <v>251</v>
      </c>
      <c r="H98" s="59" t="s">
        <v>252</v>
      </c>
      <c r="I98" s="60" t="s">
        <v>253</v>
      </c>
      <c r="J98" s="61"/>
      <c r="K98" s="61"/>
      <c r="L98" s="42"/>
      <c r="M98" s="42"/>
      <c r="N98" s="42"/>
      <c r="O98" s="42"/>
      <c r="P98" s="42"/>
      <c r="Q98" s="42"/>
      <c r="R98" s="42"/>
      <c r="S98" s="42"/>
      <c r="T98" s="42"/>
      <c r="U98" s="42"/>
      <c r="V98" s="42"/>
      <c r="W98" s="42"/>
      <c r="X98" s="42"/>
      <c r="Y98" s="42"/>
      <c r="Z98" s="42"/>
    </row>
    <row r="99" ht="57.0" customHeight="1">
      <c r="A99" s="57" t="s">
        <v>247</v>
      </c>
      <c r="B99" s="57" t="s">
        <v>81</v>
      </c>
      <c r="C99" s="57" t="s">
        <v>528</v>
      </c>
      <c r="D99" s="57" t="s">
        <v>529</v>
      </c>
      <c r="E99" s="57" t="s">
        <v>530</v>
      </c>
      <c r="F99" s="58">
        <v>97000.0</v>
      </c>
      <c r="G99" s="57" t="s">
        <v>251</v>
      </c>
      <c r="H99" s="59" t="s">
        <v>252</v>
      </c>
      <c r="I99" s="60" t="s">
        <v>253</v>
      </c>
      <c r="J99" s="61"/>
      <c r="K99" s="61"/>
      <c r="L99" s="42"/>
      <c r="M99" s="42"/>
      <c r="N99" s="42"/>
      <c r="O99" s="42"/>
      <c r="P99" s="42"/>
      <c r="Q99" s="42"/>
      <c r="R99" s="42"/>
      <c r="S99" s="42"/>
      <c r="T99" s="42"/>
      <c r="U99" s="42"/>
      <c r="V99" s="42"/>
      <c r="W99" s="42"/>
      <c r="X99" s="42"/>
      <c r="Y99" s="42"/>
      <c r="Z99" s="42"/>
    </row>
    <row r="100" ht="57.0" customHeight="1">
      <c r="A100" s="57" t="s">
        <v>247</v>
      </c>
      <c r="B100" s="57" t="s">
        <v>81</v>
      </c>
      <c r="C100" s="57" t="s">
        <v>531</v>
      </c>
      <c r="D100" s="57" t="s">
        <v>532</v>
      </c>
      <c r="E100" s="57" t="s">
        <v>533</v>
      </c>
      <c r="F100" s="58">
        <v>120000.0</v>
      </c>
      <c r="G100" s="57" t="s">
        <v>251</v>
      </c>
      <c r="H100" s="59" t="s">
        <v>252</v>
      </c>
      <c r="I100" s="60" t="s">
        <v>253</v>
      </c>
      <c r="J100" s="61"/>
      <c r="K100" s="61"/>
      <c r="L100" s="42"/>
      <c r="M100" s="42"/>
      <c r="N100" s="42"/>
      <c r="O100" s="42"/>
      <c r="P100" s="42"/>
      <c r="Q100" s="42"/>
      <c r="R100" s="42"/>
      <c r="S100" s="42"/>
      <c r="T100" s="42"/>
      <c r="U100" s="42"/>
      <c r="V100" s="42"/>
      <c r="W100" s="42"/>
      <c r="X100" s="42"/>
      <c r="Y100" s="42"/>
      <c r="Z100" s="42"/>
    </row>
    <row r="101" ht="57.0" customHeight="1">
      <c r="A101" s="57" t="s">
        <v>247</v>
      </c>
      <c r="B101" s="57" t="s">
        <v>81</v>
      </c>
      <c r="C101" s="57" t="s">
        <v>534</v>
      </c>
      <c r="D101" s="57" t="s">
        <v>535</v>
      </c>
      <c r="E101" s="57" t="s">
        <v>536</v>
      </c>
      <c r="F101" s="58">
        <v>160000.0</v>
      </c>
      <c r="G101" s="57" t="s">
        <v>251</v>
      </c>
      <c r="H101" s="59" t="s">
        <v>252</v>
      </c>
      <c r="I101" s="60" t="s">
        <v>253</v>
      </c>
      <c r="J101" s="61"/>
      <c r="K101" s="61"/>
      <c r="L101" s="42"/>
      <c r="M101" s="42"/>
      <c r="N101" s="42"/>
      <c r="O101" s="42"/>
      <c r="P101" s="42"/>
      <c r="Q101" s="42"/>
      <c r="R101" s="42"/>
      <c r="S101" s="42"/>
      <c r="T101" s="42"/>
      <c r="U101" s="42"/>
      <c r="V101" s="42"/>
      <c r="W101" s="42"/>
      <c r="X101" s="42"/>
      <c r="Y101" s="42"/>
      <c r="Z101" s="42"/>
    </row>
    <row r="102" ht="30.75" customHeight="1">
      <c r="A102" s="57" t="s">
        <v>247</v>
      </c>
      <c r="B102" s="57" t="s">
        <v>81</v>
      </c>
      <c r="C102" s="57" t="s">
        <v>537</v>
      </c>
      <c r="D102" s="57" t="s">
        <v>538</v>
      </c>
      <c r="E102" s="57" t="s">
        <v>539</v>
      </c>
      <c r="F102" s="58">
        <v>200000.0</v>
      </c>
      <c r="G102" s="57" t="s">
        <v>251</v>
      </c>
      <c r="H102" s="59" t="s">
        <v>252</v>
      </c>
      <c r="I102" s="60" t="s">
        <v>253</v>
      </c>
      <c r="J102" s="61"/>
      <c r="K102" s="61"/>
      <c r="L102" s="42"/>
      <c r="M102" s="42"/>
      <c r="N102" s="42"/>
      <c r="O102" s="42"/>
      <c r="P102" s="42"/>
      <c r="Q102" s="42"/>
      <c r="R102" s="42"/>
      <c r="S102" s="42"/>
      <c r="T102" s="42"/>
      <c r="U102" s="42"/>
      <c r="V102" s="42"/>
      <c r="W102" s="42"/>
      <c r="X102" s="42"/>
      <c r="Y102" s="42"/>
      <c r="Z102" s="42"/>
    </row>
    <row r="103" ht="30.75" customHeight="1">
      <c r="A103" s="57" t="s">
        <v>247</v>
      </c>
      <c r="B103" s="57" t="s">
        <v>81</v>
      </c>
      <c r="C103" s="57" t="s">
        <v>540</v>
      </c>
      <c r="D103" s="57" t="s">
        <v>541</v>
      </c>
      <c r="E103" s="57" t="s">
        <v>542</v>
      </c>
      <c r="F103" s="58">
        <v>250000.0</v>
      </c>
      <c r="G103" s="57" t="s">
        <v>251</v>
      </c>
      <c r="H103" s="59" t="s">
        <v>252</v>
      </c>
      <c r="I103" s="60" t="s">
        <v>253</v>
      </c>
      <c r="J103" s="61"/>
      <c r="K103" s="61"/>
      <c r="L103" s="42"/>
      <c r="M103" s="42"/>
      <c r="N103" s="42"/>
      <c r="O103" s="42"/>
      <c r="P103" s="42"/>
      <c r="Q103" s="42"/>
      <c r="R103" s="42"/>
      <c r="S103" s="42"/>
      <c r="T103" s="42"/>
      <c r="U103" s="42"/>
      <c r="V103" s="42"/>
      <c r="W103" s="42"/>
      <c r="X103" s="42"/>
      <c r="Y103" s="42"/>
      <c r="Z103" s="42"/>
    </row>
    <row r="104" ht="30.75" customHeight="1">
      <c r="A104" s="57" t="s">
        <v>247</v>
      </c>
      <c r="B104" s="57" t="s">
        <v>81</v>
      </c>
      <c r="C104" s="57" t="s">
        <v>543</v>
      </c>
      <c r="D104" s="57" t="s">
        <v>544</v>
      </c>
      <c r="E104" s="57" t="s">
        <v>545</v>
      </c>
      <c r="F104" s="58">
        <v>260000.0</v>
      </c>
      <c r="G104" s="57" t="s">
        <v>251</v>
      </c>
      <c r="H104" s="59" t="s">
        <v>252</v>
      </c>
      <c r="I104" s="60" t="s">
        <v>253</v>
      </c>
      <c r="J104" s="61"/>
      <c r="K104" s="61"/>
      <c r="L104" s="42"/>
      <c r="M104" s="42"/>
      <c r="N104" s="42"/>
      <c r="O104" s="42"/>
      <c r="P104" s="42"/>
      <c r="Q104" s="42"/>
      <c r="R104" s="42"/>
      <c r="S104" s="42"/>
      <c r="T104" s="42"/>
      <c r="U104" s="42"/>
      <c r="V104" s="42"/>
      <c r="W104" s="42"/>
      <c r="X104" s="42"/>
      <c r="Y104" s="42"/>
      <c r="Z104" s="42"/>
    </row>
    <row r="105" ht="30.75" customHeight="1">
      <c r="A105" s="57" t="s">
        <v>247</v>
      </c>
      <c r="B105" s="57" t="s">
        <v>81</v>
      </c>
      <c r="C105" s="57" t="s">
        <v>546</v>
      </c>
      <c r="D105" s="57" t="s">
        <v>547</v>
      </c>
      <c r="E105" s="57" t="s">
        <v>548</v>
      </c>
      <c r="F105" s="58">
        <v>300000.0</v>
      </c>
      <c r="G105" s="57" t="s">
        <v>251</v>
      </c>
      <c r="H105" s="59" t="s">
        <v>252</v>
      </c>
      <c r="I105" s="60" t="s">
        <v>253</v>
      </c>
      <c r="J105" s="61"/>
      <c r="K105" s="61"/>
      <c r="L105" s="42"/>
      <c r="M105" s="42"/>
      <c r="N105" s="42"/>
      <c r="O105" s="42"/>
      <c r="P105" s="42"/>
      <c r="Q105" s="42"/>
      <c r="R105" s="42"/>
      <c r="S105" s="42"/>
      <c r="T105" s="42"/>
      <c r="U105" s="42"/>
      <c r="V105" s="42"/>
      <c r="W105" s="42"/>
      <c r="X105" s="42"/>
      <c r="Y105" s="42"/>
      <c r="Z105" s="42"/>
    </row>
    <row r="106" ht="30.75" customHeight="1">
      <c r="A106" s="57" t="s">
        <v>247</v>
      </c>
      <c r="B106" s="57" t="s">
        <v>81</v>
      </c>
      <c r="C106" s="57" t="s">
        <v>549</v>
      </c>
      <c r="D106" s="57" t="s">
        <v>550</v>
      </c>
      <c r="E106" s="57" t="s">
        <v>551</v>
      </c>
      <c r="F106" s="58">
        <v>300000.0</v>
      </c>
      <c r="G106" s="57" t="s">
        <v>251</v>
      </c>
      <c r="H106" s="59" t="s">
        <v>252</v>
      </c>
      <c r="I106" s="60" t="s">
        <v>253</v>
      </c>
      <c r="J106" s="61"/>
      <c r="K106" s="61"/>
      <c r="L106" s="42"/>
      <c r="M106" s="42"/>
      <c r="N106" s="42"/>
      <c r="O106" s="42"/>
      <c r="P106" s="42"/>
      <c r="Q106" s="42"/>
      <c r="R106" s="42"/>
      <c r="S106" s="42"/>
      <c r="T106" s="42"/>
      <c r="U106" s="42"/>
      <c r="V106" s="42"/>
      <c r="W106" s="42"/>
      <c r="X106" s="42"/>
      <c r="Y106" s="42"/>
      <c r="Z106" s="42"/>
    </row>
    <row r="107" ht="57.0" customHeight="1">
      <c r="A107" s="57" t="s">
        <v>247</v>
      </c>
      <c r="B107" s="57" t="s">
        <v>81</v>
      </c>
      <c r="C107" s="57" t="s">
        <v>552</v>
      </c>
      <c r="D107" s="57" t="s">
        <v>553</v>
      </c>
      <c r="E107" s="57" t="s">
        <v>554</v>
      </c>
      <c r="F107" s="58">
        <v>350000.0</v>
      </c>
      <c r="G107" s="57" t="s">
        <v>251</v>
      </c>
      <c r="H107" s="59" t="s">
        <v>252</v>
      </c>
      <c r="I107" s="60" t="s">
        <v>253</v>
      </c>
      <c r="J107" s="61"/>
      <c r="K107" s="61"/>
      <c r="L107" s="42"/>
      <c r="M107" s="42"/>
      <c r="N107" s="42"/>
      <c r="O107" s="42"/>
      <c r="P107" s="42"/>
      <c r="Q107" s="42"/>
      <c r="R107" s="42"/>
      <c r="S107" s="42"/>
      <c r="T107" s="42"/>
      <c r="U107" s="42"/>
      <c r="V107" s="42"/>
      <c r="W107" s="42"/>
      <c r="X107" s="42"/>
      <c r="Y107" s="42"/>
      <c r="Z107" s="42"/>
    </row>
    <row r="108" ht="30.75" customHeight="1">
      <c r="A108" s="57" t="s">
        <v>247</v>
      </c>
      <c r="B108" s="57" t="s">
        <v>81</v>
      </c>
      <c r="C108" s="57" t="s">
        <v>555</v>
      </c>
      <c r="D108" s="57" t="s">
        <v>556</v>
      </c>
      <c r="E108" s="57" t="s">
        <v>557</v>
      </c>
      <c r="F108" s="58">
        <v>370000.0</v>
      </c>
      <c r="G108" s="57" t="s">
        <v>251</v>
      </c>
      <c r="H108" s="59" t="s">
        <v>252</v>
      </c>
      <c r="I108" s="60" t="s">
        <v>253</v>
      </c>
      <c r="J108" s="61"/>
      <c r="K108" s="61"/>
      <c r="L108" s="42"/>
      <c r="M108" s="42"/>
      <c r="N108" s="42"/>
      <c r="O108" s="42"/>
      <c r="P108" s="42"/>
      <c r="Q108" s="42"/>
      <c r="R108" s="42"/>
      <c r="S108" s="42"/>
      <c r="T108" s="42"/>
      <c r="U108" s="42"/>
      <c r="V108" s="42"/>
      <c r="W108" s="42"/>
      <c r="X108" s="42"/>
      <c r="Y108" s="42"/>
      <c r="Z108" s="42"/>
    </row>
    <row r="109" ht="30.75" customHeight="1">
      <c r="A109" s="57" t="s">
        <v>247</v>
      </c>
      <c r="B109" s="57" t="s">
        <v>81</v>
      </c>
      <c r="C109" s="57" t="s">
        <v>558</v>
      </c>
      <c r="D109" s="57" t="s">
        <v>559</v>
      </c>
      <c r="E109" s="57" t="s">
        <v>560</v>
      </c>
      <c r="F109" s="58">
        <v>500000.0</v>
      </c>
      <c r="G109" s="57" t="s">
        <v>251</v>
      </c>
      <c r="H109" s="59" t="s">
        <v>252</v>
      </c>
      <c r="I109" s="60" t="s">
        <v>253</v>
      </c>
      <c r="J109" s="61"/>
      <c r="K109" s="61"/>
      <c r="L109" s="42"/>
      <c r="M109" s="42"/>
      <c r="N109" s="42"/>
      <c r="O109" s="42"/>
      <c r="P109" s="42"/>
      <c r="Q109" s="42"/>
      <c r="R109" s="42"/>
      <c r="S109" s="42"/>
      <c r="T109" s="42"/>
      <c r="U109" s="42"/>
      <c r="V109" s="42"/>
      <c r="W109" s="42"/>
      <c r="X109" s="42"/>
      <c r="Y109" s="42"/>
      <c r="Z109" s="42"/>
    </row>
    <row r="110" ht="30.75" customHeight="1">
      <c r="A110" s="57" t="s">
        <v>247</v>
      </c>
      <c r="B110" s="57" t="s">
        <v>81</v>
      </c>
      <c r="C110" s="57" t="s">
        <v>561</v>
      </c>
      <c r="D110" s="57" t="s">
        <v>562</v>
      </c>
      <c r="E110" s="57" t="s">
        <v>563</v>
      </c>
      <c r="F110" s="58">
        <v>850000.0</v>
      </c>
      <c r="G110" s="57" t="s">
        <v>251</v>
      </c>
      <c r="H110" s="59" t="s">
        <v>252</v>
      </c>
      <c r="I110" s="60" t="s">
        <v>253</v>
      </c>
      <c r="J110" s="61"/>
      <c r="K110" s="61"/>
      <c r="L110" s="42"/>
      <c r="M110" s="42"/>
      <c r="N110" s="42"/>
      <c r="O110" s="42"/>
      <c r="P110" s="42"/>
      <c r="Q110" s="42"/>
      <c r="R110" s="42"/>
      <c r="S110" s="42"/>
      <c r="T110" s="42"/>
      <c r="U110" s="42"/>
      <c r="V110" s="42"/>
      <c r="W110" s="42"/>
      <c r="X110" s="42"/>
      <c r="Y110" s="42"/>
      <c r="Z110" s="42"/>
    </row>
    <row r="111" ht="30.75" customHeight="1">
      <c r="A111" s="57" t="s">
        <v>247</v>
      </c>
      <c r="B111" s="57" t="s">
        <v>81</v>
      </c>
      <c r="C111" s="57" t="s">
        <v>564</v>
      </c>
      <c r="D111" s="57" t="s">
        <v>565</v>
      </c>
      <c r="E111" s="57" t="s">
        <v>566</v>
      </c>
      <c r="F111" s="58">
        <v>900000.0</v>
      </c>
      <c r="G111" s="57" t="s">
        <v>251</v>
      </c>
      <c r="H111" s="59" t="s">
        <v>252</v>
      </c>
      <c r="I111" s="60" t="s">
        <v>253</v>
      </c>
      <c r="J111" s="61"/>
      <c r="K111" s="61"/>
      <c r="L111" s="42"/>
      <c r="M111" s="42"/>
      <c r="N111" s="42"/>
      <c r="O111" s="42"/>
      <c r="P111" s="42"/>
      <c r="Q111" s="42"/>
      <c r="R111" s="42"/>
      <c r="S111" s="42"/>
      <c r="T111" s="42"/>
      <c r="U111" s="42"/>
      <c r="V111" s="42"/>
      <c r="W111" s="42"/>
      <c r="X111" s="42"/>
      <c r="Y111" s="42"/>
      <c r="Z111" s="42"/>
    </row>
    <row r="112" ht="57.0" customHeight="1">
      <c r="A112" s="57" t="s">
        <v>247</v>
      </c>
      <c r="B112" s="57" t="s">
        <v>81</v>
      </c>
      <c r="C112" s="57" t="s">
        <v>567</v>
      </c>
      <c r="D112" s="57" t="s">
        <v>568</v>
      </c>
      <c r="E112" s="57" t="s">
        <v>569</v>
      </c>
      <c r="F112" s="58">
        <v>1300000.0</v>
      </c>
      <c r="G112" s="57" t="s">
        <v>251</v>
      </c>
      <c r="H112" s="59" t="s">
        <v>252</v>
      </c>
      <c r="I112" s="60" t="s">
        <v>253</v>
      </c>
      <c r="J112" s="61"/>
      <c r="K112" s="61"/>
      <c r="L112" s="42"/>
      <c r="M112" s="42"/>
      <c r="N112" s="42"/>
      <c r="O112" s="42"/>
      <c r="P112" s="42"/>
      <c r="Q112" s="42"/>
      <c r="R112" s="42"/>
      <c r="S112" s="42"/>
      <c r="T112" s="42"/>
      <c r="U112" s="42"/>
      <c r="V112" s="42"/>
      <c r="W112" s="42"/>
      <c r="X112" s="42"/>
      <c r="Y112" s="42"/>
      <c r="Z112" s="42"/>
    </row>
    <row r="113" ht="57.0" customHeight="1">
      <c r="A113" s="57" t="s">
        <v>247</v>
      </c>
      <c r="B113" s="57" t="s">
        <v>81</v>
      </c>
      <c r="C113" s="57" t="s">
        <v>570</v>
      </c>
      <c r="D113" s="57" t="s">
        <v>571</v>
      </c>
      <c r="E113" s="57" t="s">
        <v>572</v>
      </c>
      <c r="F113" s="58">
        <v>1500000.0</v>
      </c>
      <c r="G113" s="57" t="s">
        <v>251</v>
      </c>
      <c r="H113" s="59" t="s">
        <v>252</v>
      </c>
      <c r="I113" s="60" t="s">
        <v>253</v>
      </c>
      <c r="J113" s="61"/>
      <c r="K113" s="61"/>
      <c r="L113" s="42"/>
      <c r="M113" s="42"/>
      <c r="N113" s="42"/>
      <c r="O113" s="42"/>
      <c r="P113" s="42"/>
      <c r="Q113" s="42"/>
      <c r="R113" s="42"/>
      <c r="S113" s="42"/>
      <c r="T113" s="42"/>
      <c r="U113" s="42"/>
      <c r="V113" s="42"/>
      <c r="W113" s="42"/>
      <c r="X113" s="42"/>
      <c r="Y113" s="42"/>
      <c r="Z113" s="42"/>
    </row>
    <row r="114" ht="57.0" customHeight="1">
      <c r="A114" s="57" t="s">
        <v>247</v>
      </c>
      <c r="B114" s="57" t="s">
        <v>81</v>
      </c>
      <c r="C114" s="57" t="s">
        <v>573</v>
      </c>
      <c r="D114" s="57" t="s">
        <v>574</v>
      </c>
      <c r="E114" s="57" t="s">
        <v>575</v>
      </c>
      <c r="F114" s="58">
        <v>1500000.0</v>
      </c>
      <c r="G114" s="57" t="s">
        <v>251</v>
      </c>
      <c r="H114" s="59" t="s">
        <v>252</v>
      </c>
      <c r="I114" s="60" t="s">
        <v>253</v>
      </c>
      <c r="J114" s="61"/>
      <c r="K114" s="61"/>
      <c r="L114" s="42"/>
      <c r="M114" s="42"/>
      <c r="N114" s="42"/>
      <c r="O114" s="42"/>
      <c r="P114" s="42"/>
      <c r="Q114" s="42"/>
      <c r="R114" s="42"/>
      <c r="S114" s="42"/>
      <c r="T114" s="42"/>
      <c r="U114" s="42"/>
      <c r="V114" s="42"/>
      <c r="W114" s="42"/>
      <c r="X114" s="42"/>
      <c r="Y114" s="42"/>
      <c r="Z114" s="42"/>
    </row>
    <row r="115" ht="30.75" customHeight="1">
      <c r="A115" s="57" t="s">
        <v>247</v>
      </c>
      <c r="B115" s="57" t="s">
        <v>81</v>
      </c>
      <c r="C115" s="57" t="s">
        <v>576</v>
      </c>
      <c r="D115" s="57" t="s">
        <v>577</v>
      </c>
      <c r="E115" s="57" t="s">
        <v>578</v>
      </c>
      <c r="F115" s="58">
        <v>2000000.0</v>
      </c>
      <c r="G115" s="57" t="s">
        <v>251</v>
      </c>
      <c r="H115" s="59" t="s">
        <v>252</v>
      </c>
      <c r="I115" s="60" t="s">
        <v>253</v>
      </c>
      <c r="J115" s="61"/>
      <c r="K115" s="61"/>
      <c r="L115" s="42"/>
      <c r="M115" s="42"/>
      <c r="N115" s="42"/>
      <c r="O115" s="42"/>
      <c r="P115" s="42"/>
      <c r="Q115" s="42"/>
      <c r="R115" s="42"/>
      <c r="S115" s="42"/>
      <c r="T115" s="42"/>
      <c r="U115" s="42"/>
      <c r="V115" s="42"/>
      <c r="W115" s="42"/>
      <c r="X115" s="42"/>
      <c r="Y115" s="42"/>
      <c r="Z115" s="42"/>
    </row>
    <row r="116" ht="57.0" customHeight="1">
      <c r="A116" s="57" t="s">
        <v>247</v>
      </c>
      <c r="B116" s="57" t="s">
        <v>81</v>
      </c>
      <c r="C116" s="57" t="s">
        <v>579</v>
      </c>
      <c r="D116" s="57" t="s">
        <v>580</v>
      </c>
      <c r="E116" s="57" t="s">
        <v>581</v>
      </c>
      <c r="F116" s="58">
        <v>3600000.0</v>
      </c>
      <c r="G116" s="57" t="s">
        <v>251</v>
      </c>
      <c r="H116" s="59" t="s">
        <v>252</v>
      </c>
      <c r="I116" s="60" t="s">
        <v>253</v>
      </c>
      <c r="J116" s="61"/>
      <c r="K116" s="61"/>
      <c r="L116" s="42"/>
      <c r="M116" s="42"/>
      <c r="N116" s="42"/>
      <c r="O116" s="42"/>
      <c r="P116" s="42"/>
      <c r="Q116" s="42"/>
      <c r="R116" s="42"/>
      <c r="S116" s="42"/>
      <c r="T116" s="42"/>
      <c r="U116" s="42"/>
      <c r="V116" s="42"/>
      <c r="W116" s="42"/>
      <c r="X116" s="42"/>
      <c r="Y116" s="42"/>
      <c r="Z116" s="42"/>
    </row>
    <row r="117" ht="57.0" customHeight="1">
      <c r="A117" s="57" t="s">
        <v>247</v>
      </c>
      <c r="B117" s="57" t="s">
        <v>81</v>
      </c>
      <c r="C117" s="57" t="s">
        <v>582</v>
      </c>
      <c r="D117" s="57" t="s">
        <v>583</v>
      </c>
      <c r="E117" s="57" t="s">
        <v>584</v>
      </c>
      <c r="F117" s="58">
        <v>3500000.0</v>
      </c>
      <c r="G117" s="57" t="s">
        <v>251</v>
      </c>
      <c r="H117" s="59" t="s">
        <v>252</v>
      </c>
      <c r="I117" s="60" t="s">
        <v>253</v>
      </c>
      <c r="J117" s="61"/>
      <c r="K117" s="61"/>
      <c r="L117" s="42"/>
      <c r="M117" s="42"/>
      <c r="N117" s="42"/>
      <c r="O117" s="42"/>
      <c r="P117" s="42"/>
      <c r="Q117" s="42"/>
      <c r="R117" s="42"/>
      <c r="S117" s="42"/>
      <c r="T117" s="42"/>
      <c r="U117" s="42"/>
      <c r="V117" s="42"/>
      <c r="W117" s="42"/>
      <c r="X117" s="42"/>
      <c r="Y117" s="42"/>
      <c r="Z117" s="42"/>
    </row>
    <row r="118" ht="57.0" customHeight="1">
      <c r="A118" s="57" t="s">
        <v>247</v>
      </c>
      <c r="B118" s="57" t="s">
        <v>81</v>
      </c>
      <c r="C118" s="57" t="s">
        <v>585</v>
      </c>
      <c r="D118" s="57" t="s">
        <v>586</v>
      </c>
      <c r="E118" s="57" t="s">
        <v>587</v>
      </c>
      <c r="F118" s="58">
        <v>600000.0</v>
      </c>
      <c r="G118" s="57" t="s">
        <v>467</v>
      </c>
      <c r="H118" s="59" t="s">
        <v>252</v>
      </c>
      <c r="I118" s="60" t="s">
        <v>253</v>
      </c>
      <c r="J118" s="61"/>
      <c r="K118" s="61"/>
      <c r="L118" s="42"/>
      <c r="M118" s="42"/>
      <c r="N118" s="42"/>
      <c r="O118" s="42"/>
      <c r="P118" s="42"/>
      <c r="Q118" s="42"/>
      <c r="R118" s="42"/>
      <c r="S118" s="42"/>
      <c r="T118" s="42"/>
      <c r="U118" s="42"/>
      <c r="V118" s="42"/>
      <c r="W118" s="42"/>
      <c r="X118" s="42"/>
      <c r="Y118" s="42"/>
      <c r="Z118" s="42"/>
    </row>
    <row r="119" ht="57.0" customHeight="1">
      <c r="A119" s="57" t="s">
        <v>247</v>
      </c>
      <c r="B119" s="57" t="s">
        <v>81</v>
      </c>
      <c r="C119" s="57" t="s">
        <v>588</v>
      </c>
      <c r="D119" s="57" t="s">
        <v>589</v>
      </c>
      <c r="E119" s="57" t="s">
        <v>590</v>
      </c>
      <c r="F119" s="58">
        <v>350000.0</v>
      </c>
      <c r="G119" s="57" t="s">
        <v>251</v>
      </c>
      <c r="H119" s="59" t="s">
        <v>252</v>
      </c>
      <c r="I119" s="60" t="s">
        <v>253</v>
      </c>
      <c r="J119" s="61"/>
      <c r="K119" s="61"/>
      <c r="L119" s="42"/>
      <c r="M119" s="42"/>
      <c r="N119" s="42"/>
      <c r="O119" s="42"/>
      <c r="P119" s="42"/>
      <c r="Q119" s="42"/>
      <c r="R119" s="42"/>
      <c r="S119" s="42"/>
      <c r="T119" s="42"/>
      <c r="U119" s="42"/>
      <c r="V119" s="42"/>
      <c r="W119" s="42"/>
      <c r="X119" s="42"/>
      <c r="Y119" s="42"/>
      <c r="Z119" s="42"/>
    </row>
    <row r="120" ht="57.0" customHeight="1">
      <c r="A120" s="57" t="s">
        <v>247</v>
      </c>
      <c r="B120" s="57" t="s">
        <v>81</v>
      </c>
      <c r="C120" s="57" t="s">
        <v>591</v>
      </c>
      <c r="D120" s="57" t="s">
        <v>592</v>
      </c>
      <c r="E120" s="57" t="s">
        <v>593</v>
      </c>
      <c r="F120" s="66">
        <v>82500.0</v>
      </c>
      <c r="G120" s="57" t="s">
        <v>467</v>
      </c>
      <c r="H120" s="59" t="s">
        <v>594</v>
      </c>
      <c r="I120" s="59" t="s">
        <v>595</v>
      </c>
      <c r="J120" s="61" t="s">
        <v>596</v>
      </c>
      <c r="K120" s="67">
        <v>26359.0</v>
      </c>
      <c r="L120" s="42"/>
      <c r="M120" s="42"/>
      <c r="N120" s="42"/>
      <c r="O120" s="42"/>
      <c r="P120" s="42"/>
      <c r="Q120" s="42"/>
      <c r="R120" s="42"/>
      <c r="S120" s="42"/>
      <c r="T120" s="42"/>
      <c r="U120" s="42"/>
      <c r="V120" s="42"/>
      <c r="W120" s="42"/>
      <c r="X120" s="42"/>
      <c r="Y120" s="42"/>
      <c r="Z120" s="42"/>
    </row>
    <row r="121" ht="57.0" customHeight="1">
      <c r="A121" s="57" t="s">
        <v>247</v>
      </c>
      <c r="B121" s="57" t="s">
        <v>81</v>
      </c>
      <c r="C121" s="57" t="s">
        <v>597</v>
      </c>
      <c r="D121" s="57" t="s">
        <v>598</v>
      </c>
      <c r="E121" s="57" t="s">
        <v>599</v>
      </c>
      <c r="F121" s="65">
        <v>90000.0</v>
      </c>
      <c r="G121" s="57" t="s">
        <v>467</v>
      </c>
      <c r="H121" s="59" t="s">
        <v>594</v>
      </c>
      <c r="I121" s="59" t="s">
        <v>595</v>
      </c>
      <c r="J121" s="61" t="s">
        <v>596</v>
      </c>
      <c r="K121" s="67">
        <v>26359.0</v>
      </c>
      <c r="L121" s="42"/>
      <c r="M121" s="42"/>
      <c r="N121" s="42"/>
      <c r="O121" s="42"/>
      <c r="P121" s="42"/>
      <c r="Q121" s="42"/>
      <c r="R121" s="42"/>
      <c r="S121" s="42"/>
      <c r="T121" s="42"/>
      <c r="U121" s="42"/>
      <c r="V121" s="42"/>
      <c r="W121" s="42"/>
      <c r="X121" s="42"/>
      <c r="Y121" s="42"/>
      <c r="Z121" s="42"/>
    </row>
    <row r="122" ht="28.5" customHeight="1">
      <c r="A122" s="57" t="s">
        <v>247</v>
      </c>
      <c r="B122" s="57" t="s">
        <v>81</v>
      </c>
      <c r="C122" s="57" t="s">
        <v>600</v>
      </c>
      <c r="D122" s="57" t="s">
        <v>601</v>
      </c>
      <c r="E122" s="57" t="s">
        <v>602</v>
      </c>
      <c r="F122" s="58">
        <v>1500000.0</v>
      </c>
      <c r="G122" s="57" t="s">
        <v>251</v>
      </c>
      <c r="H122" s="59" t="s">
        <v>252</v>
      </c>
      <c r="I122" s="59" t="s">
        <v>472</v>
      </c>
      <c r="J122" s="61"/>
      <c r="K122" s="61"/>
      <c r="L122" s="42"/>
      <c r="M122" s="42"/>
      <c r="N122" s="42"/>
      <c r="O122" s="42"/>
      <c r="P122" s="42"/>
      <c r="Q122" s="42"/>
      <c r="R122" s="42"/>
      <c r="S122" s="42"/>
      <c r="T122" s="42"/>
      <c r="U122" s="42"/>
      <c r="V122" s="42"/>
      <c r="W122" s="42"/>
      <c r="X122" s="42"/>
      <c r="Y122" s="42"/>
      <c r="Z122" s="42"/>
    </row>
    <row r="123" ht="28.5" customHeight="1">
      <c r="A123" s="57" t="s">
        <v>247</v>
      </c>
      <c r="B123" s="57" t="s">
        <v>81</v>
      </c>
      <c r="C123" s="57" t="s">
        <v>603</v>
      </c>
      <c r="D123" s="57" t="s">
        <v>604</v>
      </c>
      <c r="E123" s="57" t="s">
        <v>605</v>
      </c>
      <c r="F123" s="58">
        <v>900000.0</v>
      </c>
      <c r="G123" s="57" t="s">
        <v>251</v>
      </c>
      <c r="H123" s="59" t="s">
        <v>252</v>
      </c>
      <c r="I123" s="59" t="s">
        <v>472</v>
      </c>
      <c r="J123" s="61"/>
      <c r="K123" s="61"/>
      <c r="L123" s="42"/>
      <c r="M123" s="42"/>
      <c r="N123" s="42"/>
      <c r="O123" s="42"/>
      <c r="P123" s="42"/>
      <c r="Q123" s="42"/>
      <c r="R123" s="42"/>
      <c r="S123" s="42"/>
      <c r="T123" s="42"/>
      <c r="U123" s="42"/>
      <c r="V123" s="42"/>
      <c r="W123" s="42"/>
      <c r="X123" s="42"/>
      <c r="Y123" s="42"/>
      <c r="Z123" s="42"/>
    </row>
    <row r="124" ht="28.5" customHeight="1">
      <c r="A124" s="57" t="s">
        <v>247</v>
      </c>
      <c r="B124" s="57" t="s">
        <v>81</v>
      </c>
      <c r="C124" s="57" t="s">
        <v>606</v>
      </c>
      <c r="D124" s="57" t="s">
        <v>607</v>
      </c>
      <c r="E124" s="57" t="s">
        <v>608</v>
      </c>
      <c r="F124" s="58">
        <v>490000.0</v>
      </c>
      <c r="G124" s="57" t="s">
        <v>251</v>
      </c>
      <c r="H124" s="59" t="s">
        <v>252</v>
      </c>
      <c r="I124" s="59" t="s">
        <v>472</v>
      </c>
      <c r="J124" s="61"/>
      <c r="K124" s="61"/>
      <c r="L124" s="42"/>
      <c r="M124" s="42"/>
      <c r="N124" s="42"/>
      <c r="O124" s="42"/>
      <c r="P124" s="42"/>
      <c r="Q124" s="42"/>
      <c r="R124" s="42"/>
      <c r="S124" s="42"/>
      <c r="T124" s="42"/>
      <c r="U124" s="42"/>
      <c r="V124" s="42"/>
      <c r="W124" s="42"/>
      <c r="X124" s="42"/>
      <c r="Y124" s="42"/>
      <c r="Z124" s="42"/>
    </row>
    <row r="125" ht="57.0" customHeight="1">
      <c r="A125" s="57" t="s">
        <v>247</v>
      </c>
      <c r="B125" s="57" t="s">
        <v>81</v>
      </c>
      <c r="C125" s="57" t="s">
        <v>609</v>
      </c>
      <c r="D125" s="57" t="s">
        <v>610</v>
      </c>
      <c r="E125" s="57" t="s">
        <v>611</v>
      </c>
      <c r="F125" s="58">
        <v>1200000.0</v>
      </c>
      <c r="G125" s="57" t="s">
        <v>251</v>
      </c>
      <c r="H125" s="59" t="s">
        <v>252</v>
      </c>
      <c r="I125" s="59" t="s">
        <v>472</v>
      </c>
      <c r="J125" s="61"/>
      <c r="K125" s="61"/>
      <c r="L125" s="42"/>
      <c r="M125" s="42"/>
      <c r="N125" s="42"/>
      <c r="O125" s="42"/>
      <c r="P125" s="42"/>
      <c r="Q125" s="42"/>
      <c r="R125" s="42"/>
      <c r="S125" s="42"/>
      <c r="T125" s="42"/>
      <c r="U125" s="42"/>
      <c r="V125" s="42"/>
      <c r="W125" s="42"/>
      <c r="X125" s="42"/>
      <c r="Y125" s="42"/>
      <c r="Z125" s="42"/>
    </row>
    <row r="126" ht="28.5" customHeight="1">
      <c r="A126" s="57" t="s">
        <v>247</v>
      </c>
      <c r="B126" s="57" t="s">
        <v>81</v>
      </c>
      <c r="C126" s="57" t="s">
        <v>612</v>
      </c>
      <c r="D126" s="57" t="s">
        <v>613</v>
      </c>
      <c r="E126" s="57" t="s">
        <v>614</v>
      </c>
      <c r="F126" s="58">
        <v>930000.0</v>
      </c>
      <c r="G126" s="57" t="s">
        <v>251</v>
      </c>
      <c r="H126" s="59" t="s">
        <v>252</v>
      </c>
      <c r="I126" s="59" t="s">
        <v>472</v>
      </c>
      <c r="J126" s="61"/>
      <c r="K126" s="61"/>
      <c r="L126" s="42"/>
      <c r="M126" s="42"/>
      <c r="N126" s="42"/>
      <c r="O126" s="42"/>
      <c r="P126" s="42"/>
      <c r="Q126" s="42"/>
      <c r="R126" s="42"/>
      <c r="S126" s="42"/>
      <c r="T126" s="42"/>
      <c r="U126" s="42"/>
      <c r="V126" s="42"/>
      <c r="W126" s="42"/>
      <c r="X126" s="42"/>
      <c r="Y126" s="42"/>
      <c r="Z126" s="42"/>
    </row>
    <row r="127" ht="28.5" customHeight="1">
      <c r="A127" s="57" t="s">
        <v>247</v>
      </c>
      <c r="B127" s="57" t="s">
        <v>81</v>
      </c>
      <c r="C127" s="57" t="s">
        <v>615</v>
      </c>
      <c r="D127" s="57" t="s">
        <v>616</v>
      </c>
      <c r="E127" s="57" t="s">
        <v>617</v>
      </c>
      <c r="F127" s="58">
        <v>1500000.0</v>
      </c>
      <c r="G127" s="57" t="s">
        <v>467</v>
      </c>
      <c r="H127" s="59" t="s">
        <v>252</v>
      </c>
      <c r="I127" s="59" t="s">
        <v>472</v>
      </c>
      <c r="J127" s="61"/>
      <c r="K127" s="61"/>
      <c r="L127" s="42"/>
      <c r="M127" s="42"/>
      <c r="N127" s="42"/>
      <c r="O127" s="42"/>
      <c r="P127" s="42"/>
      <c r="Q127" s="42"/>
      <c r="R127" s="42"/>
      <c r="S127" s="42"/>
      <c r="T127" s="42"/>
      <c r="U127" s="42"/>
      <c r="V127" s="42"/>
      <c r="W127" s="42"/>
      <c r="X127" s="42"/>
      <c r="Y127" s="42"/>
      <c r="Z127" s="42"/>
    </row>
    <row r="128" ht="57.0" customHeight="1">
      <c r="A128" s="57" t="s">
        <v>247</v>
      </c>
      <c r="B128" s="57" t="s">
        <v>81</v>
      </c>
      <c r="C128" s="57" t="s">
        <v>618</v>
      </c>
      <c r="D128" s="57" t="s">
        <v>619</v>
      </c>
      <c r="E128" s="57" t="s">
        <v>620</v>
      </c>
      <c r="F128" s="58">
        <v>2700000.0</v>
      </c>
      <c r="G128" s="57" t="s">
        <v>251</v>
      </c>
      <c r="H128" s="59" t="s">
        <v>252</v>
      </c>
      <c r="I128" s="59" t="s">
        <v>472</v>
      </c>
      <c r="J128" s="61"/>
      <c r="K128" s="61"/>
      <c r="L128" s="42"/>
      <c r="M128" s="42"/>
      <c r="N128" s="42"/>
      <c r="O128" s="42"/>
      <c r="P128" s="42"/>
      <c r="Q128" s="42"/>
      <c r="R128" s="42"/>
      <c r="S128" s="42"/>
      <c r="T128" s="42"/>
      <c r="U128" s="42"/>
      <c r="V128" s="42"/>
      <c r="W128" s="42"/>
      <c r="X128" s="42"/>
      <c r="Y128" s="42"/>
      <c r="Z128" s="42"/>
    </row>
    <row r="129" ht="57.0" customHeight="1">
      <c r="A129" s="57" t="s">
        <v>247</v>
      </c>
      <c r="B129" s="57" t="s">
        <v>81</v>
      </c>
      <c r="C129" s="57" t="s">
        <v>621</v>
      </c>
      <c r="D129" s="57" t="s">
        <v>622</v>
      </c>
      <c r="E129" s="57" t="s">
        <v>623</v>
      </c>
      <c r="F129" s="58">
        <v>1200000.0</v>
      </c>
      <c r="G129" s="57" t="s">
        <v>251</v>
      </c>
      <c r="H129" s="59" t="s">
        <v>252</v>
      </c>
      <c r="I129" s="59" t="s">
        <v>472</v>
      </c>
      <c r="J129" s="61"/>
      <c r="K129" s="61"/>
      <c r="L129" s="42"/>
      <c r="M129" s="42"/>
      <c r="N129" s="42"/>
      <c r="O129" s="42"/>
      <c r="P129" s="42"/>
      <c r="Q129" s="42"/>
      <c r="R129" s="42"/>
      <c r="S129" s="42"/>
      <c r="T129" s="42"/>
      <c r="U129" s="42"/>
      <c r="V129" s="42"/>
      <c r="W129" s="42"/>
      <c r="X129" s="42"/>
      <c r="Y129" s="42"/>
      <c r="Z129" s="42"/>
    </row>
    <row r="130" ht="28.5" customHeight="1">
      <c r="A130" s="57" t="s">
        <v>247</v>
      </c>
      <c r="B130" s="57" t="s">
        <v>81</v>
      </c>
      <c r="C130" s="57" t="s">
        <v>624</v>
      </c>
      <c r="D130" s="57" t="s">
        <v>625</v>
      </c>
      <c r="E130" s="57" t="s">
        <v>626</v>
      </c>
      <c r="F130" s="58">
        <v>80000.0</v>
      </c>
      <c r="G130" s="57" t="s">
        <v>467</v>
      </c>
      <c r="H130" s="59" t="s">
        <v>252</v>
      </c>
      <c r="I130" s="59" t="s">
        <v>472</v>
      </c>
      <c r="J130" s="61"/>
      <c r="K130" s="61"/>
      <c r="L130" s="42"/>
      <c r="M130" s="42"/>
      <c r="N130" s="42"/>
      <c r="O130" s="42"/>
      <c r="P130" s="42"/>
      <c r="Q130" s="42"/>
      <c r="R130" s="42"/>
      <c r="S130" s="42"/>
      <c r="T130" s="42"/>
      <c r="U130" s="42"/>
      <c r="V130" s="42"/>
      <c r="W130" s="42"/>
      <c r="X130" s="42"/>
      <c r="Y130" s="42"/>
      <c r="Z130" s="42"/>
    </row>
    <row r="131" ht="28.5" customHeight="1">
      <c r="A131" s="57" t="s">
        <v>247</v>
      </c>
      <c r="B131" s="57" t="s">
        <v>81</v>
      </c>
      <c r="C131" s="57" t="s">
        <v>627</v>
      </c>
      <c r="D131" s="57" t="s">
        <v>628</v>
      </c>
      <c r="E131" s="57" t="s">
        <v>629</v>
      </c>
      <c r="F131" s="58">
        <v>400000.0</v>
      </c>
      <c r="G131" s="57" t="s">
        <v>467</v>
      </c>
      <c r="H131" s="59" t="s">
        <v>252</v>
      </c>
      <c r="I131" s="59" t="s">
        <v>472</v>
      </c>
      <c r="J131" s="61"/>
      <c r="K131" s="61"/>
      <c r="L131" s="42"/>
      <c r="M131" s="42"/>
      <c r="N131" s="42"/>
      <c r="O131" s="42"/>
      <c r="P131" s="42"/>
      <c r="Q131" s="42"/>
      <c r="R131" s="42"/>
      <c r="S131" s="42"/>
      <c r="T131" s="42"/>
      <c r="U131" s="42"/>
      <c r="V131" s="42"/>
      <c r="W131" s="42"/>
      <c r="X131" s="42"/>
      <c r="Y131" s="42"/>
      <c r="Z131" s="42"/>
    </row>
    <row r="132" ht="57.0" customHeight="1">
      <c r="A132" s="57" t="s">
        <v>247</v>
      </c>
      <c r="B132" s="57" t="s">
        <v>81</v>
      </c>
      <c r="C132" s="57" t="s">
        <v>630</v>
      </c>
      <c r="D132" s="57" t="s">
        <v>631</v>
      </c>
      <c r="E132" s="57" t="s">
        <v>632</v>
      </c>
      <c r="F132" s="58">
        <v>1500000.0</v>
      </c>
      <c r="G132" s="57" t="s">
        <v>251</v>
      </c>
      <c r="H132" s="59" t="s">
        <v>252</v>
      </c>
      <c r="I132" s="59" t="s">
        <v>472</v>
      </c>
      <c r="J132" s="61"/>
      <c r="K132" s="61"/>
      <c r="L132" s="42"/>
      <c r="M132" s="42"/>
      <c r="N132" s="42"/>
      <c r="O132" s="42"/>
      <c r="P132" s="42"/>
      <c r="Q132" s="42"/>
      <c r="R132" s="42"/>
      <c r="S132" s="42"/>
      <c r="T132" s="42"/>
      <c r="U132" s="42"/>
      <c r="V132" s="42"/>
      <c r="W132" s="42"/>
      <c r="X132" s="42"/>
      <c r="Y132" s="42"/>
      <c r="Z132" s="42"/>
    </row>
    <row r="133" ht="57.0" customHeight="1">
      <c r="A133" s="57" t="s">
        <v>247</v>
      </c>
      <c r="B133" s="57" t="s">
        <v>81</v>
      </c>
      <c r="C133" s="57" t="s">
        <v>633</v>
      </c>
      <c r="D133" s="57" t="s">
        <v>538</v>
      </c>
      <c r="E133" s="57" t="s">
        <v>634</v>
      </c>
      <c r="F133" s="58">
        <v>110000.0</v>
      </c>
      <c r="G133" s="57" t="s">
        <v>251</v>
      </c>
      <c r="H133" s="59" t="s">
        <v>594</v>
      </c>
      <c r="I133" s="59" t="s">
        <v>635</v>
      </c>
      <c r="J133" s="61" t="s">
        <v>636</v>
      </c>
      <c r="K133" s="67">
        <v>26543.0</v>
      </c>
      <c r="L133" s="42"/>
      <c r="M133" s="42"/>
      <c r="N133" s="42"/>
      <c r="O133" s="42"/>
      <c r="P133" s="42"/>
      <c r="Q133" s="42"/>
      <c r="R133" s="42"/>
      <c r="S133" s="42"/>
      <c r="T133" s="42"/>
      <c r="U133" s="42"/>
      <c r="V133" s="42"/>
      <c r="W133" s="42"/>
      <c r="X133" s="42"/>
      <c r="Y133" s="42"/>
      <c r="Z133" s="42"/>
    </row>
    <row r="134" ht="57.0" customHeight="1">
      <c r="A134" s="57" t="s">
        <v>247</v>
      </c>
      <c r="B134" s="57" t="s">
        <v>81</v>
      </c>
      <c r="C134" s="57" t="s">
        <v>637</v>
      </c>
      <c r="D134" s="57" t="s">
        <v>638</v>
      </c>
      <c r="E134" s="57" t="s">
        <v>639</v>
      </c>
      <c r="F134" s="58">
        <v>5500000.0</v>
      </c>
      <c r="G134" s="57" t="s">
        <v>251</v>
      </c>
      <c r="H134" s="59" t="s">
        <v>252</v>
      </c>
      <c r="I134" s="59" t="s">
        <v>272</v>
      </c>
      <c r="J134" s="61"/>
      <c r="K134" s="61"/>
      <c r="L134" s="42"/>
      <c r="M134" s="42"/>
      <c r="N134" s="42"/>
      <c r="O134" s="42"/>
      <c r="P134" s="42"/>
      <c r="Q134" s="42"/>
      <c r="R134" s="42"/>
      <c r="S134" s="42"/>
      <c r="T134" s="42"/>
      <c r="U134" s="42"/>
      <c r="V134" s="42"/>
      <c r="W134" s="42"/>
      <c r="X134" s="42"/>
      <c r="Y134" s="42"/>
      <c r="Z134" s="42"/>
    </row>
    <row r="135" ht="57.0" customHeight="1">
      <c r="A135" s="57" t="s">
        <v>247</v>
      </c>
      <c r="B135" s="57" t="s">
        <v>81</v>
      </c>
      <c r="C135" s="57" t="s">
        <v>640</v>
      </c>
      <c r="D135" s="57" t="s">
        <v>641</v>
      </c>
      <c r="E135" s="57" t="s">
        <v>642</v>
      </c>
      <c r="F135" s="58">
        <v>3000000.0</v>
      </c>
      <c r="G135" s="57" t="s">
        <v>251</v>
      </c>
      <c r="H135" s="59" t="s">
        <v>252</v>
      </c>
      <c r="I135" s="59" t="s">
        <v>272</v>
      </c>
      <c r="J135" s="61"/>
      <c r="K135" s="61"/>
      <c r="L135" s="42"/>
      <c r="M135" s="42"/>
      <c r="N135" s="42"/>
      <c r="O135" s="42"/>
      <c r="P135" s="42"/>
      <c r="Q135" s="42"/>
      <c r="R135" s="42"/>
      <c r="S135" s="42"/>
      <c r="T135" s="42"/>
      <c r="U135" s="42"/>
      <c r="V135" s="42"/>
      <c r="W135" s="42"/>
      <c r="X135" s="42"/>
      <c r="Y135" s="42"/>
      <c r="Z135" s="42"/>
    </row>
    <row r="136" ht="57.0" customHeight="1">
      <c r="A136" s="57" t="s">
        <v>247</v>
      </c>
      <c r="B136" s="57" t="s">
        <v>81</v>
      </c>
      <c r="C136" s="57" t="s">
        <v>643</v>
      </c>
      <c r="D136" s="57" t="s">
        <v>644</v>
      </c>
      <c r="E136" s="57"/>
      <c r="F136" s="58">
        <v>350000.0</v>
      </c>
      <c r="G136" s="57" t="s">
        <v>251</v>
      </c>
      <c r="H136" s="59" t="s">
        <v>252</v>
      </c>
      <c r="I136" s="59" t="s">
        <v>272</v>
      </c>
      <c r="J136" s="61"/>
      <c r="K136" s="61"/>
      <c r="L136" s="42"/>
      <c r="M136" s="42"/>
      <c r="N136" s="42"/>
      <c r="O136" s="42"/>
      <c r="P136" s="42"/>
      <c r="Q136" s="42"/>
      <c r="R136" s="42"/>
      <c r="S136" s="42"/>
      <c r="T136" s="42"/>
      <c r="U136" s="42"/>
      <c r="V136" s="42"/>
      <c r="W136" s="42"/>
      <c r="X136" s="42"/>
      <c r="Y136" s="42"/>
      <c r="Z136" s="42"/>
    </row>
    <row r="137" ht="30.75" customHeight="1">
      <c r="A137" s="57" t="s">
        <v>247</v>
      </c>
      <c r="B137" s="57" t="s">
        <v>81</v>
      </c>
      <c r="C137" s="57" t="s">
        <v>645</v>
      </c>
      <c r="D137" s="57" t="s">
        <v>646</v>
      </c>
      <c r="E137" s="57" t="s">
        <v>647</v>
      </c>
      <c r="F137" s="58">
        <v>90000.0</v>
      </c>
      <c r="G137" s="57" t="s">
        <v>251</v>
      </c>
      <c r="H137" s="59" t="s">
        <v>252</v>
      </c>
      <c r="I137" s="60" t="s">
        <v>253</v>
      </c>
      <c r="J137" s="61"/>
      <c r="K137" s="61"/>
      <c r="L137" s="42"/>
      <c r="M137" s="42"/>
      <c r="N137" s="42"/>
      <c r="O137" s="42"/>
      <c r="P137" s="42"/>
      <c r="Q137" s="42"/>
      <c r="R137" s="42"/>
      <c r="S137" s="42"/>
      <c r="T137" s="42"/>
      <c r="U137" s="42"/>
      <c r="V137" s="42"/>
      <c r="W137" s="42"/>
      <c r="X137" s="42"/>
      <c r="Y137" s="42"/>
      <c r="Z137" s="42"/>
    </row>
    <row r="138" ht="30.75" customHeight="1">
      <c r="A138" s="57" t="s">
        <v>247</v>
      </c>
      <c r="B138" s="57" t="s">
        <v>81</v>
      </c>
      <c r="C138" s="57" t="s">
        <v>648</v>
      </c>
      <c r="D138" s="57" t="s">
        <v>649</v>
      </c>
      <c r="E138" s="57" t="s">
        <v>650</v>
      </c>
      <c r="F138" s="58">
        <v>450000.0</v>
      </c>
      <c r="G138" s="57" t="s">
        <v>251</v>
      </c>
      <c r="H138" s="59" t="s">
        <v>252</v>
      </c>
      <c r="I138" s="59" t="s">
        <v>272</v>
      </c>
      <c r="J138" s="61"/>
      <c r="K138" s="61"/>
      <c r="L138" s="42"/>
      <c r="M138" s="42"/>
      <c r="N138" s="42"/>
      <c r="O138" s="42"/>
      <c r="P138" s="42"/>
      <c r="Q138" s="42"/>
      <c r="R138" s="42"/>
      <c r="S138" s="42"/>
      <c r="T138" s="42"/>
      <c r="U138" s="42"/>
      <c r="V138" s="42"/>
      <c r="W138" s="42"/>
      <c r="X138" s="42"/>
      <c r="Y138" s="42"/>
      <c r="Z138" s="42"/>
    </row>
    <row r="139" ht="30.75" customHeight="1">
      <c r="A139" s="57" t="s">
        <v>247</v>
      </c>
      <c r="B139" s="57" t="s">
        <v>81</v>
      </c>
      <c r="C139" s="57" t="s">
        <v>651</v>
      </c>
      <c r="D139" s="57" t="s">
        <v>652</v>
      </c>
      <c r="E139" s="57" t="s">
        <v>653</v>
      </c>
      <c r="F139" s="58">
        <v>1500000.0</v>
      </c>
      <c r="G139" s="57" t="s">
        <v>251</v>
      </c>
      <c r="H139" s="59" t="s">
        <v>252</v>
      </c>
      <c r="I139" s="59" t="s">
        <v>272</v>
      </c>
      <c r="J139" s="61"/>
      <c r="K139" s="61"/>
      <c r="L139" s="42"/>
      <c r="M139" s="42"/>
      <c r="N139" s="42"/>
      <c r="O139" s="42"/>
      <c r="P139" s="42"/>
      <c r="Q139" s="42"/>
      <c r="R139" s="42"/>
      <c r="S139" s="42"/>
      <c r="T139" s="42"/>
      <c r="U139" s="42"/>
      <c r="V139" s="42"/>
      <c r="W139" s="42"/>
      <c r="X139" s="42"/>
      <c r="Y139" s="42"/>
      <c r="Z139" s="42"/>
    </row>
    <row r="140" ht="30.75" customHeight="1">
      <c r="A140" s="57" t="s">
        <v>247</v>
      </c>
      <c r="B140" s="57" t="s">
        <v>81</v>
      </c>
      <c r="C140" s="57" t="s">
        <v>654</v>
      </c>
      <c r="D140" s="57" t="s">
        <v>655</v>
      </c>
      <c r="E140" s="57" t="s">
        <v>656</v>
      </c>
      <c r="F140" s="58">
        <v>250000.0</v>
      </c>
      <c r="G140" s="57" t="s">
        <v>657</v>
      </c>
      <c r="H140" s="59" t="s">
        <v>252</v>
      </c>
      <c r="I140" s="59" t="s">
        <v>272</v>
      </c>
      <c r="J140" s="61"/>
      <c r="K140" s="61"/>
      <c r="L140" s="42"/>
      <c r="M140" s="42"/>
      <c r="N140" s="42"/>
      <c r="O140" s="42"/>
      <c r="P140" s="42"/>
      <c r="Q140" s="42"/>
      <c r="R140" s="42"/>
      <c r="S140" s="42"/>
      <c r="T140" s="42"/>
      <c r="U140" s="42"/>
      <c r="V140" s="42"/>
      <c r="W140" s="42"/>
      <c r="X140" s="42"/>
      <c r="Y140" s="42"/>
      <c r="Z140" s="42"/>
    </row>
    <row r="141" ht="30.75" customHeight="1">
      <c r="A141" s="52" t="s">
        <v>247</v>
      </c>
      <c r="B141" s="52" t="s">
        <v>84</v>
      </c>
      <c r="C141" s="52" t="s">
        <v>85</v>
      </c>
      <c r="D141" s="52" t="s">
        <v>86</v>
      </c>
      <c r="E141" s="52"/>
      <c r="F141" s="62"/>
      <c r="G141" s="52"/>
      <c r="H141" s="63"/>
      <c r="I141" s="63"/>
      <c r="J141" s="54"/>
      <c r="K141" s="54"/>
      <c r="L141" s="56"/>
      <c r="M141" s="56"/>
      <c r="N141" s="56"/>
      <c r="O141" s="56"/>
      <c r="P141" s="56"/>
      <c r="Q141" s="56"/>
      <c r="R141" s="56"/>
      <c r="S141" s="56"/>
      <c r="T141" s="56"/>
      <c r="U141" s="56"/>
      <c r="V141" s="56"/>
      <c r="W141" s="56"/>
      <c r="X141" s="56"/>
      <c r="Y141" s="56"/>
      <c r="Z141" s="56"/>
    </row>
    <row r="142" ht="30.75" customHeight="1">
      <c r="A142" s="57" t="s">
        <v>247</v>
      </c>
      <c r="B142" s="57" t="s">
        <v>84</v>
      </c>
      <c r="C142" s="57" t="s">
        <v>658</v>
      </c>
      <c r="D142" s="57" t="s">
        <v>659</v>
      </c>
      <c r="E142" s="57" t="s">
        <v>660</v>
      </c>
      <c r="F142" s="58">
        <v>50000.0</v>
      </c>
      <c r="G142" s="57" t="s">
        <v>251</v>
      </c>
      <c r="H142" s="59" t="s">
        <v>252</v>
      </c>
      <c r="I142" s="60" t="s">
        <v>253</v>
      </c>
      <c r="J142" s="61"/>
      <c r="K142" s="61"/>
      <c r="L142" s="42"/>
      <c r="M142" s="42"/>
      <c r="N142" s="42"/>
      <c r="O142" s="42"/>
      <c r="P142" s="42"/>
      <c r="Q142" s="42"/>
      <c r="R142" s="42"/>
      <c r="S142" s="42"/>
      <c r="T142" s="42"/>
      <c r="U142" s="42"/>
      <c r="V142" s="42"/>
      <c r="W142" s="42"/>
      <c r="X142" s="42"/>
      <c r="Y142" s="42"/>
      <c r="Z142" s="42"/>
    </row>
    <row r="143" ht="57.0" customHeight="1">
      <c r="A143" s="57" t="s">
        <v>247</v>
      </c>
      <c r="B143" s="57" t="s">
        <v>84</v>
      </c>
      <c r="C143" s="57" t="s">
        <v>661</v>
      </c>
      <c r="D143" s="57" t="s">
        <v>662</v>
      </c>
      <c r="E143" s="57" t="s">
        <v>663</v>
      </c>
      <c r="F143" s="58">
        <v>100000.0</v>
      </c>
      <c r="G143" s="57" t="s">
        <v>664</v>
      </c>
      <c r="H143" s="59" t="s">
        <v>252</v>
      </c>
      <c r="I143" s="60" t="s">
        <v>253</v>
      </c>
      <c r="J143" s="61"/>
      <c r="K143" s="61"/>
      <c r="L143" s="42"/>
      <c r="M143" s="42"/>
      <c r="N143" s="42"/>
      <c r="O143" s="42"/>
      <c r="P143" s="42"/>
      <c r="Q143" s="42"/>
      <c r="R143" s="42"/>
      <c r="S143" s="42"/>
      <c r="T143" s="42"/>
      <c r="U143" s="42"/>
      <c r="V143" s="42"/>
      <c r="W143" s="42"/>
      <c r="X143" s="42"/>
      <c r="Y143" s="42"/>
      <c r="Z143" s="42"/>
    </row>
    <row r="144" ht="57.0" customHeight="1">
      <c r="A144" s="57" t="s">
        <v>247</v>
      </c>
      <c r="B144" s="57" t="s">
        <v>84</v>
      </c>
      <c r="C144" s="57" t="s">
        <v>665</v>
      </c>
      <c r="D144" s="57" t="s">
        <v>666</v>
      </c>
      <c r="E144" s="57" t="s">
        <v>667</v>
      </c>
      <c r="F144" s="58">
        <v>300000.0</v>
      </c>
      <c r="G144" s="57" t="s">
        <v>251</v>
      </c>
      <c r="H144" s="59" t="s">
        <v>252</v>
      </c>
      <c r="I144" s="60" t="s">
        <v>253</v>
      </c>
      <c r="J144" s="61"/>
      <c r="K144" s="61"/>
      <c r="L144" s="42"/>
      <c r="M144" s="42"/>
      <c r="N144" s="42"/>
      <c r="O144" s="42"/>
      <c r="P144" s="42"/>
      <c r="Q144" s="42"/>
      <c r="R144" s="42"/>
      <c r="S144" s="42"/>
      <c r="T144" s="42"/>
      <c r="U144" s="42"/>
      <c r="V144" s="42"/>
      <c r="W144" s="42"/>
      <c r="X144" s="42"/>
      <c r="Y144" s="42"/>
      <c r="Z144" s="42"/>
    </row>
    <row r="145" ht="57.0" customHeight="1">
      <c r="A145" s="57" t="s">
        <v>247</v>
      </c>
      <c r="B145" s="57" t="s">
        <v>84</v>
      </c>
      <c r="C145" s="57" t="s">
        <v>668</v>
      </c>
      <c r="D145" s="57" t="s">
        <v>669</v>
      </c>
      <c r="E145" s="57" t="s">
        <v>670</v>
      </c>
      <c r="F145" s="58">
        <v>60000.0</v>
      </c>
      <c r="G145" s="57" t="s">
        <v>664</v>
      </c>
      <c r="H145" s="59" t="s">
        <v>252</v>
      </c>
      <c r="I145" s="60" t="s">
        <v>253</v>
      </c>
      <c r="J145" s="61"/>
      <c r="K145" s="61"/>
      <c r="L145" s="42"/>
      <c r="M145" s="42"/>
      <c r="N145" s="42"/>
      <c r="O145" s="42"/>
      <c r="P145" s="42"/>
      <c r="Q145" s="42"/>
      <c r="R145" s="42"/>
      <c r="S145" s="42"/>
      <c r="T145" s="42"/>
      <c r="U145" s="42"/>
      <c r="V145" s="42"/>
      <c r="W145" s="42"/>
      <c r="X145" s="42"/>
      <c r="Y145" s="42"/>
      <c r="Z145" s="42"/>
    </row>
    <row r="146" ht="57.0" customHeight="1">
      <c r="A146" s="57" t="s">
        <v>247</v>
      </c>
      <c r="B146" s="57" t="s">
        <v>84</v>
      </c>
      <c r="C146" s="57" t="s">
        <v>671</v>
      </c>
      <c r="D146" s="57" t="s">
        <v>672</v>
      </c>
      <c r="E146" s="57" t="s">
        <v>673</v>
      </c>
      <c r="F146" s="58">
        <v>80000.0</v>
      </c>
      <c r="G146" s="57" t="s">
        <v>251</v>
      </c>
      <c r="H146" s="59" t="s">
        <v>252</v>
      </c>
      <c r="I146" s="60" t="s">
        <v>253</v>
      </c>
      <c r="J146" s="61"/>
      <c r="K146" s="61"/>
      <c r="L146" s="42"/>
      <c r="M146" s="42"/>
      <c r="N146" s="42"/>
      <c r="O146" s="42"/>
      <c r="P146" s="42"/>
      <c r="Q146" s="42"/>
      <c r="R146" s="42"/>
      <c r="S146" s="42"/>
      <c r="T146" s="42"/>
      <c r="U146" s="42"/>
      <c r="V146" s="42"/>
      <c r="W146" s="42"/>
      <c r="X146" s="42"/>
      <c r="Y146" s="42"/>
      <c r="Z146" s="42"/>
    </row>
    <row r="147" ht="57.0" customHeight="1">
      <c r="A147" s="57" t="s">
        <v>247</v>
      </c>
      <c r="B147" s="57" t="s">
        <v>84</v>
      </c>
      <c r="C147" s="57" t="s">
        <v>674</v>
      </c>
      <c r="D147" s="57" t="s">
        <v>675</v>
      </c>
      <c r="E147" s="57" t="s">
        <v>676</v>
      </c>
      <c r="F147" s="58">
        <v>1600000.0</v>
      </c>
      <c r="G147" s="57" t="s">
        <v>251</v>
      </c>
      <c r="H147" s="59" t="s">
        <v>252</v>
      </c>
      <c r="I147" s="60" t="s">
        <v>253</v>
      </c>
      <c r="J147" s="61"/>
      <c r="K147" s="61"/>
      <c r="L147" s="42"/>
      <c r="M147" s="42"/>
      <c r="N147" s="42"/>
      <c r="O147" s="42"/>
      <c r="P147" s="42"/>
      <c r="Q147" s="42"/>
      <c r="R147" s="42"/>
      <c r="S147" s="42"/>
      <c r="T147" s="42"/>
      <c r="U147" s="42"/>
      <c r="V147" s="42"/>
      <c r="W147" s="42"/>
      <c r="X147" s="42"/>
      <c r="Y147" s="42"/>
      <c r="Z147" s="42"/>
    </row>
    <row r="148" ht="57.0" customHeight="1">
      <c r="A148" s="57" t="s">
        <v>247</v>
      </c>
      <c r="B148" s="57" t="s">
        <v>84</v>
      </c>
      <c r="C148" s="57" t="s">
        <v>677</v>
      </c>
      <c r="D148" s="57" t="s">
        <v>678</v>
      </c>
      <c r="E148" s="57" t="s">
        <v>679</v>
      </c>
      <c r="F148" s="58">
        <v>1800000.0</v>
      </c>
      <c r="G148" s="57" t="s">
        <v>251</v>
      </c>
      <c r="H148" s="59" t="s">
        <v>252</v>
      </c>
      <c r="I148" s="60" t="s">
        <v>253</v>
      </c>
      <c r="J148" s="61"/>
      <c r="K148" s="61"/>
      <c r="L148" s="42"/>
      <c r="M148" s="42"/>
      <c r="N148" s="42"/>
      <c r="O148" s="42"/>
      <c r="P148" s="42"/>
      <c r="Q148" s="42"/>
      <c r="R148" s="42"/>
      <c r="S148" s="42"/>
      <c r="T148" s="42"/>
      <c r="U148" s="42"/>
      <c r="V148" s="42"/>
      <c r="W148" s="42"/>
      <c r="X148" s="42"/>
      <c r="Y148" s="42"/>
      <c r="Z148" s="42"/>
    </row>
    <row r="149" ht="57.0" customHeight="1">
      <c r="A149" s="57" t="s">
        <v>247</v>
      </c>
      <c r="B149" s="57" t="s">
        <v>84</v>
      </c>
      <c r="C149" s="57" t="s">
        <v>680</v>
      </c>
      <c r="D149" s="57" t="s">
        <v>681</v>
      </c>
      <c r="E149" s="57" t="s">
        <v>682</v>
      </c>
      <c r="F149" s="58">
        <v>100000.0</v>
      </c>
      <c r="G149" s="57" t="s">
        <v>251</v>
      </c>
      <c r="H149" s="59" t="s">
        <v>252</v>
      </c>
      <c r="I149" s="60" t="s">
        <v>253</v>
      </c>
      <c r="J149" s="61"/>
      <c r="K149" s="61"/>
      <c r="L149" s="42"/>
      <c r="M149" s="42"/>
      <c r="N149" s="42"/>
      <c r="O149" s="42"/>
      <c r="P149" s="42"/>
      <c r="Q149" s="42"/>
      <c r="R149" s="42"/>
      <c r="S149" s="42"/>
      <c r="T149" s="42"/>
      <c r="U149" s="42"/>
      <c r="V149" s="42"/>
      <c r="W149" s="42"/>
      <c r="X149" s="42"/>
      <c r="Y149" s="42"/>
      <c r="Z149" s="42"/>
    </row>
    <row r="150" ht="57.0" customHeight="1">
      <c r="A150" s="57" t="s">
        <v>247</v>
      </c>
      <c r="B150" s="57" t="s">
        <v>84</v>
      </c>
      <c r="C150" s="57" t="s">
        <v>683</v>
      </c>
      <c r="D150" s="57" t="s">
        <v>684</v>
      </c>
      <c r="E150" s="57" t="s">
        <v>685</v>
      </c>
      <c r="F150" s="58">
        <v>100000.0</v>
      </c>
      <c r="G150" s="57" t="s">
        <v>251</v>
      </c>
      <c r="H150" s="59" t="s">
        <v>252</v>
      </c>
      <c r="I150" s="60" t="s">
        <v>253</v>
      </c>
      <c r="J150" s="61"/>
      <c r="K150" s="61"/>
      <c r="L150" s="42"/>
      <c r="M150" s="42"/>
      <c r="N150" s="42"/>
      <c r="O150" s="42"/>
      <c r="P150" s="42"/>
      <c r="Q150" s="42"/>
      <c r="R150" s="42"/>
      <c r="S150" s="42"/>
      <c r="T150" s="42"/>
      <c r="U150" s="42"/>
      <c r="V150" s="42"/>
      <c r="W150" s="42"/>
      <c r="X150" s="42"/>
      <c r="Y150" s="42"/>
      <c r="Z150" s="42"/>
    </row>
    <row r="151" ht="57.0" customHeight="1">
      <c r="A151" s="57" t="s">
        <v>247</v>
      </c>
      <c r="B151" s="57" t="s">
        <v>84</v>
      </c>
      <c r="C151" s="57" t="s">
        <v>686</v>
      </c>
      <c r="D151" s="57" t="s">
        <v>687</v>
      </c>
      <c r="E151" s="57" t="s">
        <v>688</v>
      </c>
      <c r="F151" s="58">
        <v>100000.0</v>
      </c>
      <c r="G151" s="57" t="s">
        <v>664</v>
      </c>
      <c r="H151" s="59" t="s">
        <v>252</v>
      </c>
      <c r="I151" s="60" t="s">
        <v>253</v>
      </c>
      <c r="J151" s="61"/>
      <c r="K151" s="61"/>
      <c r="L151" s="42"/>
      <c r="M151" s="42"/>
      <c r="N151" s="42"/>
      <c r="O151" s="42"/>
      <c r="P151" s="42"/>
      <c r="Q151" s="42"/>
      <c r="R151" s="42"/>
      <c r="S151" s="42"/>
      <c r="T151" s="42"/>
      <c r="U151" s="42"/>
      <c r="V151" s="42"/>
      <c r="W151" s="42"/>
      <c r="X151" s="42"/>
      <c r="Y151" s="42"/>
      <c r="Z151" s="42"/>
    </row>
    <row r="152" ht="57.0" customHeight="1">
      <c r="A152" s="57" t="s">
        <v>247</v>
      </c>
      <c r="B152" s="57" t="s">
        <v>84</v>
      </c>
      <c r="C152" s="57" t="s">
        <v>689</v>
      </c>
      <c r="D152" s="57" t="s">
        <v>690</v>
      </c>
      <c r="E152" s="57" t="s">
        <v>691</v>
      </c>
      <c r="F152" s="58">
        <v>140000.0</v>
      </c>
      <c r="G152" s="57" t="s">
        <v>664</v>
      </c>
      <c r="H152" s="59" t="s">
        <v>252</v>
      </c>
      <c r="I152" s="60" t="s">
        <v>253</v>
      </c>
      <c r="J152" s="61"/>
      <c r="K152" s="61"/>
      <c r="L152" s="42"/>
      <c r="M152" s="42"/>
      <c r="N152" s="42"/>
      <c r="O152" s="42"/>
      <c r="P152" s="42"/>
      <c r="Q152" s="42"/>
      <c r="R152" s="42"/>
      <c r="S152" s="42"/>
      <c r="T152" s="42"/>
      <c r="U152" s="42"/>
      <c r="V152" s="42"/>
      <c r="W152" s="42"/>
      <c r="X152" s="42"/>
      <c r="Y152" s="42"/>
      <c r="Z152" s="42"/>
    </row>
    <row r="153" ht="57.0" customHeight="1">
      <c r="A153" s="57" t="s">
        <v>247</v>
      </c>
      <c r="B153" s="57" t="s">
        <v>84</v>
      </c>
      <c r="C153" s="57" t="s">
        <v>692</v>
      </c>
      <c r="D153" s="57" t="s">
        <v>693</v>
      </c>
      <c r="E153" s="57" t="s">
        <v>694</v>
      </c>
      <c r="F153" s="58">
        <v>260000.0</v>
      </c>
      <c r="G153" s="57" t="s">
        <v>664</v>
      </c>
      <c r="H153" s="59" t="s">
        <v>252</v>
      </c>
      <c r="I153" s="60" t="s">
        <v>253</v>
      </c>
      <c r="J153" s="61"/>
      <c r="K153" s="61"/>
      <c r="L153" s="42"/>
      <c r="M153" s="42"/>
      <c r="N153" s="42"/>
      <c r="O153" s="42"/>
      <c r="P153" s="42"/>
      <c r="Q153" s="42"/>
      <c r="R153" s="42"/>
      <c r="S153" s="42"/>
      <c r="T153" s="42"/>
      <c r="U153" s="42"/>
      <c r="V153" s="42"/>
      <c r="W153" s="42"/>
      <c r="X153" s="42"/>
      <c r="Y153" s="42"/>
      <c r="Z153" s="42"/>
    </row>
    <row r="154" ht="57.0" customHeight="1">
      <c r="A154" s="57" t="s">
        <v>247</v>
      </c>
      <c r="B154" s="57" t="s">
        <v>84</v>
      </c>
      <c r="C154" s="57" t="s">
        <v>695</v>
      </c>
      <c r="D154" s="57" t="s">
        <v>696</v>
      </c>
      <c r="E154" s="57" t="s">
        <v>697</v>
      </c>
      <c r="F154" s="58">
        <v>130000.0</v>
      </c>
      <c r="G154" s="57" t="s">
        <v>251</v>
      </c>
      <c r="H154" s="59" t="s">
        <v>252</v>
      </c>
      <c r="I154" s="60" t="s">
        <v>253</v>
      </c>
      <c r="J154" s="61"/>
      <c r="K154" s="61"/>
      <c r="L154" s="42"/>
      <c r="M154" s="42"/>
      <c r="N154" s="42"/>
      <c r="O154" s="42"/>
      <c r="P154" s="42"/>
      <c r="Q154" s="42"/>
      <c r="R154" s="42"/>
      <c r="S154" s="42"/>
      <c r="T154" s="42"/>
      <c r="U154" s="42"/>
      <c r="V154" s="42"/>
      <c r="W154" s="42"/>
      <c r="X154" s="42"/>
      <c r="Y154" s="42"/>
      <c r="Z154" s="42"/>
    </row>
    <row r="155" ht="57.0" customHeight="1">
      <c r="A155" s="57" t="s">
        <v>247</v>
      </c>
      <c r="B155" s="57" t="s">
        <v>84</v>
      </c>
      <c r="C155" s="57" t="s">
        <v>698</v>
      </c>
      <c r="D155" s="57" t="s">
        <v>699</v>
      </c>
      <c r="E155" s="57" t="s">
        <v>700</v>
      </c>
      <c r="F155" s="58">
        <v>260000.0</v>
      </c>
      <c r="G155" s="57" t="s">
        <v>251</v>
      </c>
      <c r="H155" s="59" t="s">
        <v>252</v>
      </c>
      <c r="I155" s="60" t="s">
        <v>253</v>
      </c>
      <c r="J155" s="61"/>
      <c r="K155" s="61"/>
      <c r="L155" s="42"/>
      <c r="M155" s="42"/>
      <c r="N155" s="42"/>
      <c r="O155" s="42"/>
      <c r="P155" s="42"/>
      <c r="Q155" s="42"/>
      <c r="R155" s="42"/>
      <c r="S155" s="42"/>
      <c r="T155" s="42"/>
      <c r="U155" s="42"/>
      <c r="V155" s="42"/>
      <c r="W155" s="42"/>
      <c r="X155" s="42"/>
      <c r="Y155" s="42"/>
      <c r="Z155" s="42"/>
    </row>
    <row r="156" ht="57.0" customHeight="1">
      <c r="A156" s="57" t="s">
        <v>247</v>
      </c>
      <c r="B156" s="57" t="s">
        <v>84</v>
      </c>
      <c r="C156" s="57" t="s">
        <v>701</v>
      </c>
      <c r="D156" s="57" t="s">
        <v>702</v>
      </c>
      <c r="E156" s="57" t="s">
        <v>703</v>
      </c>
      <c r="F156" s="58">
        <v>400000.0</v>
      </c>
      <c r="G156" s="57" t="s">
        <v>251</v>
      </c>
      <c r="H156" s="59" t="s">
        <v>252</v>
      </c>
      <c r="I156" s="60" t="s">
        <v>253</v>
      </c>
      <c r="J156" s="61"/>
      <c r="K156" s="61"/>
      <c r="L156" s="42"/>
      <c r="M156" s="42"/>
      <c r="N156" s="42"/>
      <c r="O156" s="42"/>
      <c r="P156" s="42"/>
      <c r="Q156" s="42"/>
      <c r="R156" s="42"/>
      <c r="S156" s="42"/>
      <c r="T156" s="42"/>
      <c r="U156" s="42"/>
      <c r="V156" s="42"/>
      <c r="W156" s="42"/>
      <c r="X156" s="42"/>
      <c r="Y156" s="42"/>
      <c r="Z156" s="42"/>
    </row>
    <row r="157" ht="57.0" customHeight="1">
      <c r="A157" s="57" t="s">
        <v>247</v>
      </c>
      <c r="B157" s="57" t="s">
        <v>84</v>
      </c>
      <c r="C157" s="57" t="s">
        <v>704</v>
      </c>
      <c r="D157" s="57" t="s">
        <v>705</v>
      </c>
      <c r="E157" s="57" t="s">
        <v>706</v>
      </c>
      <c r="F157" s="58">
        <v>200000.0</v>
      </c>
      <c r="G157" s="57" t="s">
        <v>664</v>
      </c>
      <c r="H157" s="59" t="s">
        <v>252</v>
      </c>
      <c r="I157" s="60" t="s">
        <v>472</v>
      </c>
      <c r="J157" s="61"/>
      <c r="K157" s="61"/>
      <c r="L157" s="42"/>
      <c r="M157" s="42"/>
      <c r="N157" s="42"/>
      <c r="O157" s="42"/>
      <c r="P157" s="42"/>
      <c r="Q157" s="42"/>
      <c r="R157" s="42"/>
      <c r="S157" s="42"/>
      <c r="T157" s="42"/>
      <c r="U157" s="42"/>
      <c r="V157" s="42"/>
      <c r="W157" s="42"/>
      <c r="X157" s="42"/>
      <c r="Y157" s="42"/>
      <c r="Z157" s="42"/>
    </row>
    <row r="158" ht="57.0" customHeight="1">
      <c r="A158" s="57" t="s">
        <v>247</v>
      </c>
      <c r="B158" s="57" t="s">
        <v>84</v>
      </c>
      <c r="C158" s="57" t="s">
        <v>707</v>
      </c>
      <c r="D158" s="57" t="s">
        <v>708</v>
      </c>
      <c r="E158" s="57" t="s">
        <v>709</v>
      </c>
      <c r="F158" s="58">
        <v>300000.0</v>
      </c>
      <c r="G158" s="57" t="s">
        <v>664</v>
      </c>
      <c r="H158" s="59" t="s">
        <v>252</v>
      </c>
      <c r="I158" s="60" t="s">
        <v>253</v>
      </c>
      <c r="J158" s="61"/>
      <c r="K158" s="61"/>
      <c r="L158" s="42"/>
      <c r="M158" s="42"/>
      <c r="N158" s="42"/>
      <c r="O158" s="42"/>
      <c r="P158" s="42"/>
      <c r="Q158" s="42"/>
      <c r="R158" s="42"/>
      <c r="S158" s="42"/>
      <c r="T158" s="42"/>
      <c r="U158" s="42"/>
      <c r="V158" s="42"/>
      <c r="W158" s="42"/>
      <c r="X158" s="42"/>
      <c r="Y158" s="42"/>
      <c r="Z158" s="42"/>
    </row>
    <row r="159" ht="57.0" customHeight="1">
      <c r="A159" s="57" t="s">
        <v>247</v>
      </c>
      <c r="B159" s="57" t="s">
        <v>84</v>
      </c>
      <c r="C159" s="57" t="s">
        <v>710</v>
      </c>
      <c r="D159" s="57" t="s">
        <v>711</v>
      </c>
      <c r="E159" s="57" t="s">
        <v>712</v>
      </c>
      <c r="F159" s="58">
        <v>400000.0</v>
      </c>
      <c r="G159" s="57" t="s">
        <v>664</v>
      </c>
      <c r="H159" s="59" t="s">
        <v>252</v>
      </c>
      <c r="I159" s="60" t="s">
        <v>253</v>
      </c>
      <c r="J159" s="61"/>
      <c r="K159" s="61"/>
      <c r="L159" s="42"/>
      <c r="M159" s="42"/>
      <c r="N159" s="42"/>
      <c r="O159" s="42"/>
      <c r="P159" s="42"/>
      <c r="Q159" s="42"/>
      <c r="R159" s="42"/>
      <c r="S159" s="42"/>
      <c r="T159" s="42"/>
      <c r="U159" s="42"/>
      <c r="V159" s="42"/>
      <c r="W159" s="42"/>
      <c r="X159" s="42"/>
      <c r="Y159" s="42"/>
      <c r="Z159" s="42"/>
    </row>
    <row r="160" ht="57.0" customHeight="1">
      <c r="A160" s="57" t="s">
        <v>247</v>
      </c>
      <c r="B160" s="57" t="s">
        <v>84</v>
      </c>
      <c r="C160" s="57" t="s">
        <v>713</v>
      </c>
      <c r="D160" s="57" t="s">
        <v>714</v>
      </c>
      <c r="E160" s="57" t="s">
        <v>715</v>
      </c>
      <c r="F160" s="58">
        <v>500000.0</v>
      </c>
      <c r="G160" s="57" t="s">
        <v>664</v>
      </c>
      <c r="H160" s="59" t="s">
        <v>252</v>
      </c>
      <c r="I160" s="60" t="s">
        <v>253</v>
      </c>
      <c r="J160" s="61"/>
      <c r="K160" s="61"/>
      <c r="L160" s="42"/>
      <c r="M160" s="42"/>
      <c r="N160" s="42"/>
      <c r="O160" s="42"/>
      <c r="P160" s="42"/>
      <c r="Q160" s="42"/>
      <c r="R160" s="42"/>
      <c r="S160" s="42"/>
      <c r="T160" s="42"/>
      <c r="U160" s="42"/>
      <c r="V160" s="42"/>
      <c r="W160" s="42"/>
      <c r="X160" s="42"/>
      <c r="Y160" s="42"/>
      <c r="Z160" s="42"/>
    </row>
    <row r="161" ht="57.0" customHeight="1">
      <c r="A161" s="57" t="s">
        <v>247</v>
      </c>
      <c r="B161" s="57" t="s">
        <v>84</v>
      </c>
      <c r="C161" s="57" t="s">
        <v>716</v>
      </c>
      <c r="D161" s="57" t="s">
        <v>717</v>
      </c>
      <c r="E161" s="57" t="s">
        <v>718</v>
      </c>
      <c r="F161" s="58">
        <v>500000.0</v>
      </c>
      <c r="G161" s="57" t="s">
        <v>664</v>
      </c>
      <c r="H161" s="59" t="s">
        <v>252</v>
      </c>
      <c r="I161" s="60" t="s">
        <v>253</v>
      </c>
      <c r="J161" s="61"/>
      <c r="K161" s="61"/>
      <c r="L161" s="42"/>
      <c r="M161" s="42"/>
      <c r="N161" s="42"/>
      <c r="O161" s="42"/>
      <c r="P161" s="42"/>
      <c r="Q161" s="42"/>
      <c r="R161" s="42"/>
      <c r="S161" s="42"/>
      <c r="T161" s="42"/>
      <c r="U161" s="42"/>
      <c r="V161" s="42"/>
      <c r="W161" s="42"/>
      <c r="X161" s="42"/>
      <c r="Y161" s="42"/>
      <c r="Z161" s="42"/>
    </row>
    <row r="162" ht="57.0" customHeight="1">
      <c r="A162" s="57" t="s">
        <v>247</v>
      </c>
      <c r="B162" s="57" t="s">
        <v>84</v>
      </c>
      <c r="C162" s="57" t="s">
        <v>719</v>
      </c>
      <c r="D162" s="57" t="s">
        <v>720</v>
      </c>
      <c r="E162" s="57" t="s">
        <v>721</v>
      </c>
      <c r="F162" s="58">
        <v>650000.0</v>
      </c>
      <c r="G162" s="57" t="s">
        <v>664</v>
      </c>
      <c r="H162" s="59" t="s">
        <v>252</v>
      </c>
      <c r="I162" s="60" t="s">
        <v>253</v>
      </c>
      <c r="J162" s="61"/>
      <c r="K162" s="61"/>
      <c r="L162" s="42"/>
      <c r="M162" s="42"/>
      <c r="N162" s="42"/>
      <c r="O162" s="42"/>
      <c r="P162" s="42"/>
      <c r="Q162" s="42"/>
      <c r="R162" s="42"/>
      <c r="S162" s="42"/>
      <c r="T162" s="42"/>
      <c r="U162" s="42"/>
      <c r="V162" s="42"/>
      <c r="W162" s="42"/>
      <c r="X162" s="42"/>
      <c r="Y162" s="42"/>
      <c r="Z162" s="42"/>
    </row>
    <row r="163" ht="57.0" customHeight="1">
      <c r="A163" s="57" t="s">
        <v>247</v>
      </c>
      <c r="B163" s="57" t="s">
        <v>84</v>
      </c>
      <c r="C163" s="57" t="s">
        <v>722</v>
      </c>
      <c r="D163" s="57" t="s">
        <v>723</v>
      </c>
      <c r="E163" s="57" t="s">
        <v>724</v>
      </c>
      <c r="F163" s="58">
        <v>900000.0</v>
      </c>
      <c r="G163" s="57" t="s">
        <v>664</v>
      </c>
      <c r="H163" s="59" t="s">
        <v>252</v>
      </c>
      <c r="I163" s="60" t="s">
        <v>253</v>
      </c>
      <c r="J163" s="61"/>
      <c r="K163" s="61"/>
      <c r="L163" s="42"/>
      <c r="M163" s="42"/>
      <c r="N163" s="42"/>
      <c r="O163" s="42"/>
      <c r="P163" s="42"/>
      <c r="Q163" s="42"/>
      <c r="R163" s="42"/>
      <c r="S163" s="42"/>
      <c r="T163" s="42"/>
      <c r="U163" s="42"/>
      <c r="V163" s="42"/>
      <c r="W163" s="42"/>
      <c r="X163" s="42"/>
      <c r="Y163" s="42"/>
      <c r="Z163" s="42"/>
    </row>
    <row r="164" ht="57.0" customHeight="1">
      <c r="A164" s="57" t="s">
        <v>247</v>
      </c>
      <c r="B164" s="57" t="s">
        <v>84</v>
      </c>
      <c r="C164" s="57" t="s">
        <v>725</v>
      </c>
      <c r="D164" s="57" t="s">
        <v>726</v>
      </c>
      <c r="E164" s="59" t="s">
        <v>727</v>
      </c>
      <c r="F164" s="58">
        <v>1500000.0</v>
      </c>
      <c r="G164" s="59" t="s">
        <v>251</v>
      </c>
      <c r="H164" s="59" t="s">
        <v>252</v>
      </c>
      <c r="I164" s="60" t="s">
        <v>468</v>
      </c>
      <c r="J164" s="61"/>
      <c r="K164" s="61"/>
      <c r="L164" s="42"/>
      <c r="M164" s="42"/>
      <c r="N164" s="42"/>
      <c r="O164" s="42"/>
      <c r="P164" s="42"/>
      <c r="Q164" s="42"/>
      <c r="R164" s="42"/>
      <c r="S164" s="42"/>
      <c r="T164" s="42"/>
      <c r="U164" s="42"/>
      <c r="V164" s="42"/>
      <c r="W164" s="42"/>
      <c r="X164" s="42"/>
      <c r="Y164" s="42"/>
      <c r="Z164" s="42"/>
    </row>
    <row r="165" ht="57.0" customHeight="1">
      <c r="A165" s="57" t="s">
        <v>247</v>
      </c>
      <c r="B165" s="57" t="s">
        <v>84</v>
      </c>
      <c r="C165" s="57" t="s">
        <v>728</v>
      </c>
      <c r="D165" s="57" t="s">
        <v>729</v>
      </c>
      <c r="E165" s="59" t="s">
        <v>730</v>
      </c>
      <c r="F165" s="58">
        <v>450000.0</v>
      </c>
      <c r="G165" s="59" t="s">
        <v>251</v>
      </c>
      <c r="H165" s="59" t="s">
        <v>252</v>
      </c>
      <c r="I165" s="60" t="s">
        <v>272</v>
      </c>
      <c r="J165" s="61"/>
      <c r="K165" s="61"/>
      <c r="L165" s="42"/>
      <c r="M165" s="42"/>
      <c r="N165" s="42"/>
      <c r="O165" s="42"/>
      <c r="P165" s="42"/>
      <c r="Q165" s="42"/>
      <c r="R165" s="42"/>
      <c r="S165" s="42"/>
      <c r="T165" s="42"/>
      <c r="U165" s="42"/>
      <c r="V165" s="42"/>
      <c r="W165" s="42"/>
      <c r="X165" s="42"/>
      <c r="Y165" s="42"/>
      <c r="Z165" s="42"/>
    </row>
    <row r="166" ht="30.75" customHeight="1">
      <c r="A166" s="52" t="s">
        <v>247</v>
      </c>
      <c r="B166" s="52" t="s">
        <v>87</v>
      </c>
      <c r="C166" s="52" t="s">
        <v>88</v>
      </c>
      <c r="D166" s="52" t="s">
        <v>89</v>
      </c>
      <c r="E166" s="52"/>
      <c r="F166" s="62"/>
      <c r="G166" s="52"/>
      <c r="H166" s="63"/>
      <c r="I166" s="63"/>
      <c r="J166" s="54"/>
      <c r="K166" s="54"/>
      <c r="L166" s="56"/>
      <c r="M166" s="56"/>
      <c r="N166" s="56"/>
      <c r="O166" s="56"/>
      <c r="P166" s="56"/>
      <c r="Q166" s="56"/>
      <c r="R166" s="56"/>
      <c r="S166" s="56"/>
      <c r="T166" s="56"/>
      <c r="U166" s="56"/>
      <c r="V166" s="56"/>
      <c r="W166" s="56"/>
      <c r="X166" s="56"/>
      <c r="Y166" s="56"/>
      <c r="Z166" s="56"/>
    </row>
    <row r="167" ht="30.75" customHeight="1">
      <c r="A167" s="57" t="s">
        <v>247</v>
      </c>
      <c r="B167" s="57" t="s">
        <v>87</v>
      </c>
      <c r="C167" s="57" t="s">
        <v>731</v>
      </c>
      <c r="D167" s="57" t="s">
        <v>732</v>
      </c>
      <c r="E167" s="57" t="s">
        <v>733</v>
      </c>
      <c r="F167" s="58">
        <v>50000.0</v>
      </c>
      <c r="G167" s="57" t="s">
        <v>251</v>
      </c>
      <c r="H167" s="59" t="s">
        <v>252</v>
      </c>
      <c r="I167" s="60" t="s">
        <v>253</v>
      </c>
      <c r="J167" s="61"/>
      <c r="K167" s="61"/>
      <c r="L167" s="42"/>
      <c r="M167" s="42"/>
      <c r="N167" s="42"/>
      <c r="O167" s="42"/>
      <c r="P167" s="42"/>
      <c r="Q167" s="42"/>
      <c r="R167" s="42"/>
      <c r="S167" s="42"/>
      <c r="T167" s="42"/>
      <c r="U167" s="42"/>
      <c r="V167" s="42"/>
      <c r="W167" s="42"/>
      <c r="X167" s="42"/>
      <c r="Y167" s="42"/>
      <c r="Z167" s="42"/>
    </row>
    <row r="168" ht="30.75" customHeight="1">
      <c r="A168" s="57" t="s">
        <v>247</v>
      </c>
      <c r="B168" s="57" t="s">
        <v>87</v>
      </c>
      <c r="C168" s="57" t="s">
        <v>734</v>
      </c>
      <c r="D168" s="57" t="s">
        <v>735</v>
      </c>
      <c r="E168" s="57" t="s">
        <v>736</v>
      </c>
      <c r="F168" s="58">
        <v>50000.0</v>
      </c>
      <c r="G168" s="57" t="s">
        <v>251</v>
      </c>
      <c r="H168" s="59" t="s">
        <v>252</v>
      </c>
      <c r="I168" s="60" t="s">
        <v>253</v>
      </c>
      <c r="J168" s="61"/>
      <c r="K168" s="61"/>
      <c r="L168" s="42"/>
      <c r="M168" s="42"/>
      <c r="N168" s="42"/>
      <c r="O168" s="42"/>
      <c r="P168" s="42"/>
      <c r="Q168" s="42"/>
      <c r="R168" s="42"/>
      <c r="S168" s="42"/>
      <c r="T168" s="42"/>
      <c r="U168" s="42"/>
      <c r="V168" s="42"/>
      <c r="W168" s="42"/>
      <c r="X168" s="42"/>
      <c r="Y168" s="42"/>
      <c r="Z168" s="42"/>
    </row>
    <row r="169" ht="30.75" customHeight="1">
      <c r="A169" s="57" t="s">
        <v>247</v>
      </c>
      <c r="B169" s="57" t="s">
        <v>87</v>
      </c>
      <c r="C169" s="57" t="s">
        <v>737</v>
      </c>
      <c r="D169" s="57" t="s">
        <v>738</v>
      </c>
      <c r="E169" s="57" t="s">
        <v>739</v>
      </c>
      <c r="F169" s="58">
        <v>100000.0</v>
      </c>
      <c r="G169" s="57" t="s">
        <v>251</v>
      </c>
      <c r="H169" s="59" t="s">
        <v>252</v>
      </c>
      <c r="I169" s="60" t="s">
        <v>253</v>
      </c>
      <c r="J169" s="61"/>
      <c r="K169" s="61"/>
      <c r="L169" s="42"/>
      <c r="M169" s="42"/>
      <c r="N169" s="42"/>
      <c r="O169" s="42"/>
      <c r="P169" s="42"/>
      <c r="Q169" s="42"/>
      <c r="R169" s="42"/>
      <c r="S169" s="42"/>
      <c r="T169" s="42"/>
      <c r="U169" s="42"/>
      <c r="V169" s="42"/>
      <c r="W169" s="42"/>
      <c r="X169" s="42"/>
      <c r="Y169" s="42"/>
      <c r="Z169" s="42"/>
    </row>
    <row r="170" ht="28.5" customHeight="1">
      <c r="A170" s="57" t="s">
        <v>247</v>
      </c>
      <c r="B170" s="57" t="s">
        <v>87</v>
      </c>
      <c r="C170" s="57" t="s">
        <v>740</v>
      </c>
      <c r="D170" s="57" t="s">
        <v>741</v>
      </c>
      <c r="E170" s="57" t="s">
        <v>742</v>
      </c>
      <c r="F170" s="58">
        <v>35000.0</v>
      </c>
      <c r="G170" s="57" t="s">
        <v>251</v>
      </c>
      <c r="H170" s="59" t="s">
        <v>252</v>
      </c>
      <c r="I170" s="59" t="s">
        <v>472</v>
      </c>
      <c r="J170" s="61"/>
      <c r="K170" s="61"/>
      <c r="L170" s="42"/>
      <c r="M170" s="42"/>
      <c r="N170" s="42"/>
      <c r="O170" s="42"/>
      <c r="P170" s="42"/>
      <c r="Q170" s="42"/>
      <c r="R170" s="42"/>
      <c r="S170" s="42"/>
      <c r="T170" s="42"/>
      <c r="U170" s="42"/>
      <c r="V170" s="42"/>
      <c r="W170" s="42"/>
      <c r="X170" s="42"/>
      <c r="Y170" s="42"/>
      <c r="Z170" s="42"/>
    </row>
    <row r="171" ht="30.75" customHeight="1">
      <c r="A171" s="52" t="s">
        <v>247</v>
      </c>
      <c r="B171" s="52" t="s">
        <v>90</v>
      </c>
      <c r="C171" s="52" t="s">
        <v>91</v>
      </c>
      <c r="D171" s="52" t="s">
        <v>92</v>
      </c>
      <c r="E171" s="52"/>
      <c r="F171" s="62"/>
      <c r="G171" s="52"/>
      <c r="H171" s="63"/>
      <c r="I171" s="63"/>
      <c r="J171" s="54"/>
      <c r="K171" s="54"/>
      <c r="L171" s="56"/>
      <c r="M171" s="56"/>
      <c r="N171" s="56"/>
      <c r="O171" s="56"/>
      <c r="P171" s="56"/>
      <c r="Q171" s="56"/>
      <c r="R171" s="56"/>
      <c r="S171" s="56"/>
      <c r="T171" s="56"/>
      <c r="U171" s="56"/>
      <c r="V171" s="56"/>
      <c r="W171" s="56"/>
      <c r="X171" s="56"/>
      <c r="Y171" s="56"/>
      <c r="Z171" s="56"/>
    </row>
    <row r="172" ht="57.0" customHeight="1">
      <c r="A172" s="57" t="s">
        <v>247</v>
      </c>
      <c r="B172" s="57" t="s">
        <v>90</v>
      </c>
      <c r="C172" s="57" t="s">
        <v>743</v>
      </c>
      <c r="D172" s="57" t="s">
        <v>744</v>
      </c>
      <c r="E172" s="57" t="s">
        <v>745</v>
      </c>
      <c r="F172" s="58">
        <v>18000.0</v>
      </c>
      <c r="G172" s="57" t="s">
        <v>467</v>
      </c>
      <c r="H172" s="59" t="s">
        <v>252</v>
      </c>
      <c r="I172" s="60" t="s">
        <v>253</v>
      </c>
      <c r="J172" s="61"/>
      <c r="K172" s="61"/>
      <c r="L172" s="42"/>
      <c r="M172" s="42"/>
      <c r="N172" s="42"/>
      <c r="O172" s="42"/>
      <c r="P172" s="42"/>
      <c r="Q172" s="42"/>
      <c r="R172" s="42"/>
      <c r="S172" s="42"/>
      <c r="T172" s="42"/>
      <c r="U172" s="42"/>
      <c r="V172" s="42"/>
      <c r="W172" s="42"/>
      <c r="X172" s="42"/>
      <c r="Y172" s="42"/>
      <c r="Z172" s="42"/>
    </row>
    <row r="173" ht="57.0" customHeight="1">
      <c r="A173" s="57" t="s">
        <v>247</v>
      </c>
      <c r="B173" s="57" t="s">
        <v>90</v>
      </c>
      <c r="C173" s="57" t="s">
        <v>746</v>
      </c>
      <c r="D173" s="57" t="s">
        <v>747</v>
      </c>
      <c r="E173" s="57" t="s">
        <v>748</v>
      </c>
      <c r="F173" s="58">
        <v>280000.0</v>
      </c>
      <c r="G173" s="57" t="s">
        <v>467</v>
      </c>
      <c r="H173" s="59" t="s">
        <v>252</v>
      </c>
      <c r="I173" s="60" t="s">
        <v>253</v>
      </c>
      <c r="J173" s="61"/>
      <c r="K173" s="61"/>
      <c r="L173" s="42"/>
      <c r="M173" s="42"/>
      <c r="N173" s="42"/>
      <c r="O173" s="42"/>
      <c r="P173" s="42"/>
      <c r="Q173" s="42"/>
      <c r="R173" s="42"/>
      <c r="S173" s="42"/>
      <c r="T173" s="42"/>
      <c r="U173" s="42"/>
      <c r="V173" s="42"/>
      <c r="W173" s="42"/>
      <c r="X173" s="42"/>
      <c r="Y173" s="42"/>
      <c r="Z173" s="42"/>
    </row>
    <row r="174" ht="57.0" customHeight="1">
      <c r="A174" s="57" t="s">
        <v>247</v>
      </c>
      <c r="B174" s="57" t="s">
        <v>90</v>
      </c>
      <c r="C174" s="57" t="s">
        <v>749</v>
      </c>
      <c r="D174" s="57" t="s">
        <v>750</v>
      </c>
      <c r="E174" s="57" t="s">
        <v>751</v>
      </c>
      <c r="F174" s="58">
        <v>700000.0</v>
      </c>
      <c r="G174" s="57" t="s">
        <v>467</v>
      </c>
      <c r="H174" s="59" t="s">
        <v>252</v>
      </c>
      <c r="I174" s="60" t="s">
        <v>253</v>
      </c>
      <c r="J174" s="61"/>
      <c r="K174" s="61"/>
      <c r="L174" s="42"/>
      <c r="M174" s="42"/>
      <c r="N174" s="42"/>
      <c r="O174" s="42"/>
      <c r="P174" s="42"/>
      <c r="Q174" s="42"/>
      <c r="R174" s="42"/>
      <c r="S174" s="42"/>
      <c r="T174" s="42"/>
      <c r="U174" s="42"/>
      <c r="V174" s="42"/>
      <c r="W174" s="42"/>
      <c r="X174" s="42"/>
      <c r="Y174" s="42"/>
      <c r="Z174" s="42"/>
    </row>
    <row r="175" ht="57.0" customHeight="1">
      <c r="A175" s="57" t="s">
        <v>247</v>
      </c>
      <c r="B175" s="57" t="s">
        <v>90</v>
      </c>
      <c r="C175" s="57" t="s">
        <v>752</v>
      </c>
      <c r="D175" s="57" t="s">
        <v>753</v>
      </c>
      <c r="E175" s="57" t="s">
        <v>754</v>
      </c>
      <c r="F175" s="58">
        <v>1450000.0</v>
      </c>
      <c r="G175" s="57" t="s">
        <v>467</v>
      </c>
      <c r="H175" s="59" t="s">
        <v>252</v>
      </c>
      <c r="I175" s="60" t="s">
        <v>253</v>
      </c>
      <c r="J175" s="61"/>
      <c r="K175" s="61"/>
      <c r="L175" s="42"/>
      <c r="M175" s="42"/>
      <c r="N175" s="42"/>
      <c r="O175" s="42"/>
      <c r="P175" s="42"/>
      <c r="Q175" s="42"/>
      <c r="R175" s="42"/>
      <c r="S175" s="42"/>
      <c r="T175" s="42"/>
      <c r="U175" s="42"/>
      <c r="V175" s="42"/>
      <c r="W175" s="42"/>
      <c r="X175" s="42"/>
      <c r="Y175" s="42"/>
      <c r="Z175" s="42"/>
    </row>
    <row r="176" ht="30.75" customHeight="1">
      <c r="A176" s="52" t="s">
        <v>247</v>
      </c>
      <c r="B176" s="52" t="s">
        <v>93</v>
      </c>
      <c r="C176" s="52" t="s">
        <v>94</v>
      </c>
      <c r="D176" s="52" t="s">
        <v>95</v>
      </c>
      <c r="E176" s="52"/>
      <c r="F176" s="62"/>
      <c r="G176" s="52"/>
      <c r="H176" s="63"/>
      <c r="I176" s="63"/>
      <c r="J176" s="54"/>
      <c r="K176" s="54"/>
      <c r="L176" s="56"/>
      <c r="M176" s="56"/>
      <c r="N176" s="56"/>
      <c r="O176" s="56"/>
      <c r="P176" s="56"/>
      <c r="Q176" s="56"/>
      <c r="R176" s="56"/>
      <c r="S176" s="56"/>
      <c r="T176" s="56"/>
      <c r="U176" s="56"/>
      <c r="V176" s="56"/>
      <c r="W176" s="56"/>
      <c r="X176" s="56"/>
      <c r="Y176" s="56"/>
      <c r="Z176" s="56"/>
    </row>
    <row r="177" ht="57.0" customHeight="1">
      <c r="A177" s="57" t="s">
        <v>247</v>
      </c>
      <c r="B177" s="57" t="s">
        <v>93</v>
      </c>
      <c r="C177" s="57" t="s">
        <v>755</v>
      </c>
      <c r="D177" s="57" t="s">
        <v>756</v>
      </c>
      <c r="E177" s="57" t="s">
        <v>757</v>
      </c>
      <c r="F177" s="58">
        <v>100000.0</v>
      </c>
      <c r="G177" s="57" t="s">
        <v>251</v>
      </c>
      <c r="H177" s="59" t="s">
        <v>252</v>
      </c>
      <c r="I177" s="60" t="s">
        <v>253</v>
      </c>
      <c r="J177" s="61"/>
      <c r="K177" s="61"/>
      <c r="L177" s="42"/>
      <c r="M177" s="42"/>
      <c r="N177" s="42"/>
      <c r="O177" s="42"/>
      <c r="P177" s="42"/>
      <c r="Q177" s="42"/>
      <c r="R177" s="42"/>
      <c r="S177" s="42"/>
      <c r="T177" s="42"/>
      <c r="U177" s="42"/>
      <c r="V177" s="42"/>
      <c r="W177" s="42"/>
      <c r="X177" s="42"/>
      <c r="Y177" s="42"/>
      <c r="Z177" s="42"/>
    </row>
    <row r="178" ht="57.0" customHeight="1">
      <c r="A178" s="57" t="s">
        <v>247</v>
      </c>
      <c r="B178" s="57" t="s">
        <v>93</v>
      </c>
      <c r="C178" s="57" t="s">
        <v>758</v>
      </c>
      <c r="D178" s="57" t="s">
        <v>759</v>
      </c>
      <c r="E178" s="57" t="s">
        <v>760</v>
      </c>
      <c r="F178" s="58">
        <v>120000.0</v>
      </c>
      <c r="G178" s="57" t="s">
        <v>251</v>
      </c>
      <c r="H178" s="59" t="s">
        <v>252</v>
      </c>
      <c r="I178" s="60" t="s">
        <v>253</v>
      </c>
      <c r="J178" s="61"/>
      <c r="K178" s="61"/>
      <c r="L178" s="42"/>
      <c r="M178" s="42"/>
      <c r="N178" s="42"/>
      <c r="O178" s="42"/>
      <c r="P178" s="42"/>
      <c r="Q178" s="42"/>
      <c r="R178" s="42"/>
      <c r="S178" s="42"/>
      <c r="T178" s="42"/>
      <c r="U178" s="42"/>
      <c r="V178" s="42"/>
      <c r="W178" s="42"/>
      <c r="X178" s="42"/>
      <c r="Y178" s="42"/>
      <c r="Z178" s="42"/>
    </row>
    <row r="179" ht="57.0" customHeight="1">
      <c r="A179" s="57" t="s">
        <v>247</v>
      </c>
      <c r="B179" s="57" t="s">
        <v>93</v>
      </c>
      <c r="C179" s="57" t="s">
        <v>761</v>
      </c>
      <c r="D179" s="57" t="s">
        <v>762</v>
      </c>
      <c r="E179" s="57" t="s">
        <v>763</v>
      </c>
      <c r="F179" s="58">
        <v>150000.0</v>
      </c>
      <c r="G179" s="57" t="s">
        <v>251</v>
      </c>
      <c r="H179" s="59" t="s">
        <v>252</v>
      </c>
      <c r="I179" s="60" t="s">
        <v>253</v>
      </c>
      <c r="J179" s="61"/>
      <c r="K179" s="61"/>
      <c r="L179" s="42"/>
      <c r="M179" s="42"/>
      <c r="N179" s="42"/>
      <c r="O179" s="42"/>
      <c r="P179" s="42"/>
      <c r="Q179" s="42"/>
      <c r="R179" s="42"/>
      <c r="S179" s="42"/>
      <c r="T179" s="42"/>
      <c r="U179" s="42"/>
      <c r="V179" s="42"/>
      <c r="W179" s="42"/>
      <c r="X179" s="42"/>
      <c r="Y179" s="42"/>
      <c r="Z179" s="42"/>
    </row>
    <row r="180" ht="30.75" customHeight="1">
      <c r="A180" s="57" t="s">
        <v>247</v>
      </c>
      <c r="B180" s="57" t="s">
        <v>93</v>
      </c>
      <c r="C180" s="57" t="s">
        <v>764</v>
      </c>
      <c r="D180" s="57" t="s">
        <v>765</v>
      </c>
      <c r="E180" s="57" t="s">
        <v>766</v>
      </c>
      <c r="F180" s="58">
        <v>200000.0</v>
      </c>
      <c r="G180" s="57" t="s">
        <v>467</v>
      </c>
      <c r="H180" s="59" t="s">
        <v>252</v>
      </c>
      <c r="I180" s="60" t="s">
        <v>253</v>
      </c>
      <c r="J180" s="61"/>
      <c r="K180" s="61"/>
      <c r="L180" s="42"/>
      <c r="M180" s="42"/>
      <c r="N180" s="42"/>
      <c r="O180" s="42"/>
      <c r="P180" s="42"/>
      <c r="Q180" s="42"/>
      <c r="R180" s="42"/>
      <c r="S180" s="42"/>
      <c r="T180" s="42"/>
      <c r="U180" s="42"/>
      <c r="V180" s="42"/>
      <c r="W180" s="42"/>
      <c r="X180" s="42"/>
      <c r="Y180" s="42"/>
      <c r="Z180" s="42"/>
    </row>
    <row r="181" ht="57.0" customHeight="1">
      <c r="A181" s="57" t="s">
        <v>247</v>
      </c>
      <c r="B181" s="57" t="s">
        <v>93</v>
      </c>
      <c r="C181" s="57" t="s">
        <v>767</v>
      </c>
      <c r="D181" s="57" t="s">
        <v>768</v>
      </c>
      <c r="E181" s="57" t="s">
        <v>769</v>
      </c>
      <c r="F181" s="58">
        <v>320000.0</v>
      </c>
      <c r="G181" s="57" t="s">
        <v>251</v>
      </c>
      <c r="H181" s="59" t="s">
        <v>252</v>
      </c>
      <c r="I181" s="60" t="s">
        <v>253</v>
      </c>
      <c r="J181" s="61"/>
      <c r="K181" s="61"/>
      <c r="L181" s="42"/>
      <c r="M181" s="42"/>
      <c r="N181" s="42"/>
      <c r="O181" s="42"/>
      <c r="P181" s="42"/>
      <c r="Q181" s="42"/>
      <c r="R181" s="42"/>
      <c r="S181" s="42"/>
      <c r="T181" s="42"/>
      <c r="U181" s="42"/>
      <c r="V181" s="42"/>
      <c r="W181" s="42"/>
      <c r="X181" s="42"/>
      <c r="Y181" s="42"/>
      <c r="Z181" s="42"/>
    </row>
    <row r="182" ht="57.0" customHeight="1">
      <c r="A182" s="57" t="s">
        <v>247</v>
      </c>
      <c r="B182" s="57" t="s">
        <v>93</v>
      </c>
      <c r="C182" s="57" t="s">
        <v>770</v>
      </c>
      <c r="D182" s="57" t="s">
        <v>771</v>
      </c>
      <c r="E182" s="57" t="s">
        <v>772</v>
      </c>
      <c r="F182" s="58">
        <v>320000.0</v>
      </c>
      <c r="G182" s="57" t="s">
        <v>251</v>
      </c>
      <c r="H182" s="59" t="s">
        <v>252</v>
      </c>
      <c r="I182" s="60" t="s">
        <v>253</v>
      </c>
      <c r="J182" s="61"/>
      <c r="K182" s="61"/>
      <c r="L182" s="42"/>
      <c r="M182" s="42"/>
      <c r="N182" s="42"/>
      <c r="O182" s="42"/>
      <c r="P182" s="42"/>
      <c r="Q182" s="42"/>
      <c r="R182" s="42"/>
      <c r="S182" s="42"/>
      <c r="T182" s="42"/>
      <c r="U182" s="42"/>
      <c r="V182" s="42"/>
      <c r="W182" s="42"/>
      <c r="X182" s="42"/>
      <c r="Y182" s="42"/>
      <c r="Z182" s="42"/>
    </row>
    <row r="183" ht="57.0" customHeight="1">
      <c r="A183" s="57" t="s">
        <v>247</v>
      </c>
      <c r="B183" s="57" t="s">
        <v>93</v>
      </c>
      <c r="C183" s="57" t="s">
        <v>773</v>
      </c>
      <c r="D183" s="57" t="s">
        <v>774</v>
      </c>
      <c r="E183" s="57" t="s">
        <v>775</v>
      </c>
      <c r="F183" s="58">
        <v>350000.0</v>
      </c>
      <c r="G183" s="57" t="s">
        <v>251</v>
      </c>
      <c r="H183" s="59" t="s">
        <v>252</v>
      </c>
      <c r="I183" s="60" t="s">
        <v>253</v>
      </c>
      <c r="J183" s="61"/>
      <c r="K183" s="61"/>
      <c r="L183" s="42"/>
      <c r="M183" s="42"/>
      <c r="N183" s="42"/>
      <c r="O183" s="42"/>
      <c r="P183" s="42"/>
      <c r="Q183" s="42"/>
      <c r="R183" s="42"/>
      <c r="S183" s="42"/>
      <c r="T183" s="42"/>
      <c r="U183" s="42"/>
      <c r="V183" s="42"/>
      <c r="W183" s="42"/>
      <c r="X183" s="42"/>
      <c r="Y183" s="42"/>
      <c r="Z183" s="42"/>
    </row>
    <row r="184" ht="57.0" customHeight="1">
      <c r="A184" s="57" t="s">
        <v>247</v>
      </c>
      <c r="B184" s="57" t="s">
        <v>93</v>
      </c>
      <c r="C184" s="57" t="s">
        <v>776</v>
      </c>
      <c r="D184" s="57" t="s">
        <v>777</v>
      </c>
      <c r="E184" s="57" t="s">
        <v>778</v>
      </c>
      <c r="F184" s="58">
        <v>350000.0</v>
      </c>
      <c r="G184" s="57" t="s">
        <v>251</v>
      </c>
      <c r="H184" s="59" t="s">
        <v>252</v>
      </c>
      <c r="I184" s="60" t="s">
        <v>253</v>
      </c>
      <c r="J184" s="61"/>
      <c r="K184" s="61"/>
      <c r="L184" s="42"/>
      <c r="M184" s="42"/>
      <c r="N184" s="42"/>
      <c r="O184" s="42"/>
      <c r="P184" s="42"/>
      <c r="Q184" s="42"/>
      <c r="R184" s="42"/>
      <c r="S184" s="42"/>
      <c r="T184" s="42"/>
      <c r="U184" s="42"/>
      <c r="V184" s="42"/>
      <c r="W184" s="42"/>
      <c r="X184" s="42"/>
      <c r="Y184" s="42"/>
      <c r="Z184" s="42"/>
    </row>
    <row r="185" ht="57.0" customHeight="1">
      <c r="A185" s="57" t="s">
        <v>247</v>
      </c>
      <c r="B185" s="57" t="s">
        <v>93</v>
      </c>
      <c r="C185" s="57" t="s">
        <v>779</v>
      </c>
      <c r="D185" s="57" t="s">
        <v>780</v>
      </c>
      <c r="E185" s="57" t="s">
        <v>781</v>
      </c>
      <c r="F185" s="58">
        <v>450000.0</v>
      </c>
      <c r="G185" s="57" t="s">
        <v>251</v>
      </c>
      <c r="H185" s="59" t="s">
        <v>252</v>
      </c>
      <c r="I185" s="60" t="s">
        <v>253</v>
      </c>
      <c r="J185" s="61"/>
      <c r="K185" s="61"/>
      <c r="L185" s="42"/>
      <c r="M185" s="42"/>
      <c r="N185" s="42"/>
      <c r="O185" s="42"/>
      <c r="P185" s="42"/>
      <c r="Q185" s="42"/>
      <c r="R185" s="42"/>
      <c r="S185" s="42"/>
      <c r="T185" s="42"/>
      <c r="U185" s="42"/>
      <c r="V185" s="42"/>
      <c r="W185" s="42"/>
      <c r="X185" s="42"/>
      <c r="Y185" s="42"/>
      <c r="Z185" s="42"/>
    </row>
    <row r="186" ht="57.0" customHeight="1">
      <c r="A186" s="57" t="s">
        <v>247</v>
      </c>
      <c r="B186" s="57" t="s">
        <v>93</v>
      </c>
      <c r="C186" s="57" t="s">
        <v>782</v>
      </c>
      <c r="D186" s="57" t="s">
        <v>783</v>
      </c>
      <c r="E186" s="57" t="s">
        <v>784</v>
      </c>
      <c r="F186" s="58">
        <v>500000.0</v>
      </c>
      <c r="G186" s="57" t="s">
        <v>251</v>
      </c>
      <c r="H186" s="59" t="s">
        <v>252</v>
      </c>
      <c r="I186" s="60" t="s">
        <v>253</v>
      </c>
      <c r="J186" s="61"/>
      <c r="K186" s="61"/>
      <c r="L186" s="42"/>
      <c r="M186" s="42"/>
      <c r="N186" s="42"/>
      <c r="O186" s="42"/>
      <c r="P186" s="42"/>
      <c r="Q186" s="42"/>
      <c r="R186" s="42"/>
      <c r="S186" s="42"/>
      <c r="T186" s="42"/>
      <c r="U186" s="42"/>
      <c r="V186" s="42"/>
      <c r="W186" s="42"/>
      <c r="X186" s="42"/>
      <c r="Y186" s="42"/>
      <c r="Z186" s="42"/>
    </row>
    <row r="187" ht="57.0" customHeight="1">
      <c r="A187" s="57" t="s">
        <v>247</v>
      </c>
      <c r="B187" s="57" t="s">
        <v>93</v>
      </c>
      <c r="C187" s="57" t="s">
        <v>785</v>
      </c>
      <c r="D187" s="57" t="s">
        <v>786</v>
      </c>
      <c r="E187" s="57" t="s">
        <v>787</v>
      </c>
      <c r="F187" s="58">
        <v>500000.0</v>
      </c>
      <c r="G187" s="57" t="s">
        <v>251</v>
      </c>
      <c r="H187" s="59" t="s">
        <v>252</v>
      </c>
      <c r="I187" s="60" t="s">
        <v>253</v>
      </c>
      <c r="J187" s="61"/>
      <c r="K187" s="61"/>
      <c r="L187" s="42"/>
      <c r="M187" s="42"/>
      <c r="N187" s="42"/>
      <c r="O187" s="42"/>
      <c r="P187" s="42"/>
      <c r="Q187" s="42"/>
      <c r="R187" s="42"/>
      <c r="S187" s="42"/>
      <c r="T187" s="42"/>
      <c r="U187" s="42"/>
      <c r="V187" s="42"/>
      <c r="W187" s="42"/>
      <c r="X187" s="42"/>
      <c r="Y187" s="42"/>
      <c r="Z187" s="42"/>
    </row>
    <row r="188" ht="57.0" customHeight="1">
      <c r="A188" s="57" t="s">
        <v>247</v>
      </c>
      <c r="B188" s="57" t="s">
        <v>93</v>
      </c>
      <c r="C188" s="57" t="s">
        <v>788</v>
      </c>
      <c r="D188" s="57" t="s">
        <v>789</v>
      </c>
      <c r="E188" s="57" t="s">
        <v>790</v>
      </c>
      <c r="F188" s="58">
        <v>850000.0</v>
      </c>
      <c r="G188" s="57" t="s">
        <v>251</v>
      </c>
      <c r="H188" s="59" t="s">
        <v>252</v>
      </c>
      <c r="I188" s="60" t="s">
        <v>253</v>
      </c>
      <c r="J188" s="61"/>
      <c r="K188" s="61"/>
      <c r="L188" s="42"/>
      <c r="M188" s="42"/>
      <c r="N188" s="42"/>
      <c r="O188" s="42"/>
      <c r="P188" s="42"/>
      <c r="Q188" s="42"/>
      <c r="R188" s="42"/>
      <c r="S188" s="42"/>
      <c r="T188" s="42"/>
      <c r="U188" s="42"/>
      <c r="V188" s="42"/>
      <c r="W188" s="42"/>
      <c r="X188" s="42"/>
      <c r="Y188" s="42"/>
      <c r="Z188" s="42"/>
    </row>
    <row r="189" ht="57.0" customHeight="1">
      <c r="A189" s="57" t="s">
        <v>247</v>
      </c>
      <c r="B189" s="57" t="s">
        <v>93</v>
      </c>
      <c r="C189" s="57" t="s">
        <v>791</v>
      </c>
      <c r="D189" s="57" t="s">
        <v>792</v>
      </c>
      <c r="E189" s="57" t="s">
        <v>793</v>
      </c>
      <c r="F189" s="58">
        <v>1200000.0</v>
      </c>
      <c r="G189" s="57" t="s">
        <v>251</v>
      </c>
      <c r="H189" s="59" t="s">
        <v>252</v>
      </c>
      <c r="I189" s="60" t="s">
        <v>253</v>
      </c>
      <c r="J189" s="61"/>
      <c r="K189" s="61"/>
      <c r="L189" s="42"/>
      <c r="M189" s="42"/>
      <c r="N189" s="42"/>
      <c r="O189" s="42"/>
      <c r="P189" s="42"/>
      <c r="Q189" s="42"/>
      <c r="R189" s="42"/>
      <c r="S189" s="42"/>
      <c r="T189" s="42"/>
      <c r="U189" s="42"/>
      <c r="V189" s="42"/>
      <c r="W189" s="42"/>
      <c r="X189" s="42"/>
      <c r="Y189" s="42"/>
      <c r="Z189" s="42"/>
    </row>
    <row r="190" ht="57.0" customHeight="1">
      <c r="A190" s="57" t="s">
        <v>247</v>
      </c>
      <c r="B190" s="57" t="s">
        <v>93</v>
      </c>
      <c r="C190" s="57" t="s">
        <v>794</v>
      </c>
      <c r="D190" s="57" t="s">
        <v>795</v>
      </c>
      <c r="E190" s="57" t="s">
        <v>796</v>
      </c>
      <c r="F190" s="58">
        <v>1200000.0</v>
      </c>
      <c r="G190" s="57" t="s">
        <v>251</v>
      </c>
      <c r="H190" s="59" t="s">
        <v>252</v>
      </c>
      <c r="I190" s="60" t="s">
        <v>253</v>
      </c>
      <c r="J190" s="61"/>
      <c r="K190" s="61"/>
      <c r="L190" s="42"/>
      <c r="M190" s="42"/>
      <c r="N190" s="42"/>
      <c r="O190" s="42"/>
      <c r="P190" s="42"/>
      <c r="Q190" s="42"/>
      <c r="R190" s="42"/>
      <c r="S190" s="42"/>
      <c r="T190" s="42"/>
      <c r="U190" s="42"/>
      <c r="V190" s="42"/>
      <c r="W190" s="42"/>
      <c r="X190" s="42"/>
      <c r="Y190" s="42"/>
      <c r="Z190" s="42"/>
    </row>
    <row r="191" ht="30.75" customHeight="1">
      <c r="A191" s="57" t="s">
        <v>247</v>
      </c>
      <c r="B191" s="57" t="s">
        <v>93</v>
      </c>
      <c r="C191" s="57" t="s">
        <v>797</v>
      </c>
      <c r="D191" s="57" t="s">
        <v>798</v>
      </c>
      <c r="E191" s="57" t="s">
        <v>799</v>
      </c>
      <c r="F191" s="58">
        <v>1300000.0</v>
      </c>
      <c r="G191" s="57" t="s">
        <v>251</v>
      </c>
      <c r="H191" s="59" t="s">
        <v>252</v>
      </c>
      <c r="I191" s="60" t="s">
        <v>253</v>
      </c>
      <c r="J191" s="61"/>
      <c r="K191" s="61"/>
      <c r="L191" s="42"/>
      <c r="M191" s="42"/>
      <c r="N191" s="42"/>
      <c r="O191" s="42"/>
      <c r="P191" s="42"/>
      <c r="Q191" s="42"/>
      <c r="R191" s="42"/>
      <c r="S191" s="42"/>
      <c r="T191" s="42"/>
      <c r="U191" s="42"/>
      <c r="V191" s="42"/>
      <c r="W191" s="42"/>
      <c r="X191" s="42"/>
      <c r="Y191" s="42"/>
      <c r="Z191" s="42"/>
    </row>
    <row r="192" ht="57.0" customHeight="1">
      <c r="A192" s="57" t="s">
        <v>247</v>
      </c>
      <c r="B192" s="57" t="s">
        <v>93</v>
      </c>
      <c r="C192" s="57" t="s">
        <v>800</v>
      </c>
      <c r="D192" s="57" t="s">
        <v>801</v>
      </c>
      <c r="E192" s="57" t="s">
        <v>802</v>
      </c>
      <c r="F192" s="58">
        <v>1500000.0</v>
      </c>
      <c r="G192" s="57" t="s">
        <v>251</v>
      </c>
      <c r="H192" s="59" t="s">
        <v>252</v>
      </c>
      <c r="I192" s="60" t="s">
        <v>253</v>
      </c>
      <c r="J192" s="61"/>
      <c r="K192" s="61"/>
      <c r="L192" s="42"/>
      <c r="M192" s="42"/>
      <c r="N192" s="42"/>
      <c r="O192" s="42"/>
      <c r="P192" s="42"/>
      <c r="Q192" s="42"/>
      <c r="R192" s="42"/>
      <c r="S192" s="42"/>
      <c r="T192" s="42"/>
      <c r="U192" s="42"/>
      <c r="V192" s="42"/>
      <c r="W192" s="42"/>
      <c r="X192" s="42"/>
      <c r="Y192" s="42"/>
      <c r="Z192" s="42"/>
    </row>
    <row r="193" ht="57.0" customHeight="1">
      <c r="A193" s="57" t="s">
        <v>247</v>
      </c>
      <c r="B193" s="57" t="s">
        <v>93</v>
      </c>
      <c r="C193" s="57" t="s">
        <v>803</v>
      </c>
      <c r="D193" s="57" t="s">
        <v>804</v>
      </c>
      <c r="E193" s="57" t="s">
        <v>805</v>
      </c>
      <c r="F193" s="58">
        <v>1500000.0</v>
      </c>
      <c r="G193" s="57" t="s">
        <v>251</v>
      </c>
      <c r="H193" s="59" t="s">
        <v>252</v>
      </c>
      <c r="I193" s="60" t="s">
        <v>253</v>
      </c>
      <c r="J193" s="61"/>
      <c r="K193" s="61"/>
      <c r="L193" s="42"/>
      <c r="M193" s="42"/>
      <c r="N193" s="42"/>
      <c r="O193" s="42"/>
      <c r="P193" s="42"/>
      <c r="Q193" s="42"/>
      <c r="R193" s="42"/>
      <c r="S193" s="42"/>
      <c r="T193" s="42"/>
      <c r="U193" s="42"/>
      <c r="V193" s="42"/>
      <c r="W193" s="42"/>
      <c r="X193" s="42"/>
      <c r="Y193" s="42"/>
      <c r="Z193" s="42"/>
    </row>
    <row r="194" ht="30.75" customHeight="1">
      <c r="A194" s="57" t="s">
        <v>247</v>
      </c>
      <c r="B194" s="57" t="s">
        <v>93</v>
      </c>
      <c r="C194" s="57" t="s">
        <v>806</v>
      </c>
      <c r="D194" s="57" t="s">
        <v>807</v>
      </c>
      <c r="E194" s="57" t="s">
        <v>808</v>
      </c>
      <c r="F194" s="58">
        <v>1550000.0</v>
      </c>
      <c r="G194" s="57" t="s">
        <v>251</v>
      </c>
      <c r="H194" s="59" t="s">
        <v>252</v>
      </c>
      <c r="I194" s="60" t="s">
        <v>253</v>
      </c>
      <c r="J194" s="61"/>
      <c r="K194" s="61"/>
      <c r="L194" s="42"/>
      <c r="M194" s="42"/>
      <c r="N194" s="42"/>
      <c r="O194" s="42"/>
      <c r="P194" s="42"/>
      <c r="Q194" s="42"/>
      <c r="R194" s="42"/>
      <c r="S194" s="42"/>
      <c r="T194" s="42"/>
      <c r="U194" s="42"/>
      <c r="V194" s="42"/>
      <c r="W194" s="42"/>
      <c r="X194" s="42"/>
      <c r="Y194" s="42"/>
      <c r="Z194" s="42"/>
    </row>
    <row r="195" ht="57.0" customHeight="1">
      <c r="A195" s="57" t="s">
        <v>247</v>
      </c>
      <c r="B195" s="57" t="s">
        <v>93</v>
      </c>
      <c r="C195" s="57" t="s">
        <v>809</v>
      </c>
      <c r="D195" s="57" t="s">
        <v>810</v>
      </c>
      <c r="E195" s="57" t="s">
        <v>811</v>
      </c>
      <c r="F195" s="58">
        <v>1550000.0</v>
      </c>
      <c r="G195" s="57" t="s">
        <v>251</v>
      </c>
      <c r="H195" s="59" t="s">
        <v>252</v>
      </c>
      <c r="I195" s="60" t="s">
        <v>253</v>
      </c>
      <c r="J195" s="61"/>
      <c r="K195" s="61"/>
      <c r="L195" s="42"/>
      <c r="M195" s="42"/>
      <c r="N195" s="42"/>
      <c r="O195" s="42"/>
      <c r="P195" s="42"/>
      <c r="Q195" s="42"/>
      <c r="R195" s="42"/>
      <c r="S195" s="42"/>
      <c r="T195" s="42"/>
      <c r="U195" s="42"/>
      <c r="V195" s="42"/>
      <c r="W195" s="42"/>
      <c r="X195" s="42"/>
      <c r="Y195" s="42"/>
      <c r="Z195" s="42"/>
    </row>
    <row r="196" ht="57.0" customHeight="1">
      <c r="A196" s="57" t="s">
        <v>247</v>
      </c>
      <c r="B196" s="57" t="s">
        <v>93</v>
      </c>
      <c r="C196" s="57" t="s">
        <v>812</v>
      </c>
      <c r="D196" s="57" t="s">
        <v>813</v>
      </c>
      <c r="E196" s="57" t="s">
        <v>814</v>
      </c>
      <c r="F196" s="58">
        <v>1600000.0</v>
      </c>
      <c r="G196" s="57" t="s">
        <v>251</v>
      </c>
      <c r="H196" s="59" t="s">
        <v>252</v>
      </c>
      <c r="I196" s="60" t="s">
        <v>253</v>
      </c>
      <c r="J196" s="61"/>
      <c r="K196" s="61"/>
      <c r="L196" s="42"/>
      <c r="M196" s="42"/>
      <c r="N196" s="42"/>
      <c r="O196" s="42"/>
      <c r="P196" s="42"/>
      <c r="Q196" s="42"/>
      <c r="R196" s="42"/>
      <c r="S196" s="42"/>
      <c r="T196" s="42"/>
      <c r="U196" s="42"/>
      <c r="V196" s="42"/>
      <c r="W196" s="42"/>
      <c r="X196" s="42"/>
      <c r="Y196" s="42"/>
      <c r="Z196" s="42"/>
    </row>
    <row r="197" ht="30.75" customHeight="1">
      <c r="A197" s="57" t="s">
        <v>247</v>
      </c>
      <c r="B197" s="57" t="s">
        <v>93</v>
      </c>
      <c r="C197" s="57" t="s">
        <v>815</v>
      </c>
      <c r="D197" s="57" t="s">
        <v>816</v>
      </c>
      <c r="E197" s="57" t="s">
        <v>817</v>
      </c>
      <c r="F197" s="58">
        <v>1900000.0</v>
      </c>
      <c r="G197" s="57" t="s">
        <v>251</v>
      </c>
      <c r="H197" s="59" t="s">
        <v>252</v>
      </c>
      <c r="I197" s="60" t="s">
        <v>253</v>
      </c>
      <c r="J197" s="61"/>
      <c r="K197" s="61"/>
      <c r="L197" s="42"/>
      <c r="M197" s="42"/>
      <c r="N197" s="42"/>
      <c r="O197" s="42"/>
      <c r="P197" s="42"/>
      <c r="Q197" s="42"/>
      <c r="R197" s="42"/>
      <c r="S197" s="42"/>
      <c r="T197" s="42"/>
      <c r="U197" s="42"/>
      <c r="V197" s="42"/>
      <c r="W197" s="42"/>
      <c r="X197" s="42"/>
      <c r="Y197" s="42"/>
      <c r="Z197" s="42"/>
    </row>
    <row r="198" ht="57.0" customHeight="1">
      <c r="A198" s="57" t="s">
        <v>247</v>
      </c>
      <c r="B198" s="57" t="s">
        <v>93</v>
      </c>
      <c r="C198" s="57" t="s">
        <v>818</v>
      </c>
      <c r="D198" s="57" t="s">
        <v>819</v>
      </c>
      <c r="E198" s="57" t="s">
        <v>820</v>
      </c>
      <c r="F198" s="58">
        <v>2000000.0</v>
      </c>
      <c r="G198" s="57" t="s">
        <v>251</v>
      </c>
      <c r="H198" s="59" t="s">
        <v>252</v>
      </c>
      <c r="I198" s="60" t="s">
        <v>253</v>
      </c>
      <c r="J198" s="61"/>
      <c r="K198" s="61"/>
      <c r="L198" s="42"/>
      <c r="M198" s="42"/>
      <c r="N198" s="42"/>
      <c r="O198" s="42"/>
      <c r="P198" s="42"/>
      <c r="Q198" s="42"/>
      <c r="R198" s="42"/>
      <c r="S198" s="42"/>
      <c r="T198" s="42"/>
      <c r="U198" s="42"/>
      <c r="V198" s="42"/>
      <c r="W198" s="42"/>
      <c r="X198" s="42"/>
      <c r="Y198" s="42"/>
      <c r="Z198" s="42"/>
    </row>
    <row r="199" ht="30.75" customHeight="1">
      <c r="A199" s="57" t="s">
        <v>247</v>
      </c>
      <c r="B199" s="57" t="s">
        <v>93</v>
      </c>
      <c r="C199" s="57" t="s">
        <v>821</v>
      </c>
      <c r="D199" s="57" t="s">
        <v>822</v>
      </c>
      <c r="E199" s="57" t="s">
        <v>823</v>
      </c>
      <c r="F199" s="58">
        <v>2000000.0</v>
      </c>
      <c r="G199" s="57" t="s">
        <v>251</v>
      </c>
      <c r="H199" s="59" t="s">
        <v>252</v>
      </c>
      <c r="I199" s="60" t="s">
        <v>253</v>
      </c>
      <c r="J199" s="61"/>
      <c r="K199" s="61"/>
      <c r="L199" s="42"/>
      <c r="M199" s="42"/>
      <c r="N199" s="42"/>
      <c r="O199" s="42"/>
      <c r="P199" s="42"/>
      <c r="Q199" s="42"/>
      <c r="R199" s="42"/>
      <c r="S199" s="42"/>
      <c r="T199" s="42"/>
      <c r="U199" s="42"/>
      <c r="V199" s="42"/>
      <c r="W199" s="42"/>
      <c r="X199" s="42"/>
      <c r="Y199" s="42"/>
      <c r="Z199" s="42"/>
    </row>
    <row r="200" ht="57.0" customHeight="1">
      <c r="A200" s="57" t="s">
        <v>247</v>
      </c>
      <c r="B200" s="57" t="s">
        <v>93</v>
      </c>
      <c r="C200" s="57" t="s">
        <v>824</v>
      </c>
      <c r="D200" s="57" t="s">
        <v>825</v>
      </c>
      <c r="E200" s="57" t="s">
        <v>826</v>
      </c>
      <c r="F200" s="58">
        <v>2000000.0</v>
      </c>
      <c r="G200" s="57" t="s">
        <v>251</v>
      </c>
      <c r="H200" s="59" t="s">
        <v>252</v>
      </c>
      <c r="I200" s="60" t="s">
        <v>253</v>
      </c>
      <c r="J200" s="61"/>
      <c r="K200" s="61"/>
      <c r="L200" s="42"/>
      <c r="M200" s="42"/>
      <c r="N200" s="42"/>
      <c r="O200" s="42"/>
      <c r="P200" s="42"/>
      <c r="Q200" s="42"/>
      <c r="R200" s="42"/>
      <c r="S200" s="42"/>
      <c r="T200" s="42"/>
      <c r="U200" s="42"/>
      <c r="V200" s="42"/>
      <c r="W200" s="42"/>
      <c r="X200" s="42"/>
      <c r="Y200" s="42"/>
      <c r="Z200" s="42"/>
    </row>
    <row r="201" ht="57.0" customHeight="1">
      <c r="A201" s="57" t="s">
        <v>247</v>
      </c>
      <c r="B201" s="57" t="s">
        <v>93</v>
      </c>
      <c r="C201" s="57" t="s">
        <v>827</v>
      </c>
      <c r="D201" s="57" t="s">
        <v>828</v>
      </c>
      <c r="E201" s="57" t="s">
        <v>829</v>
      </c>
      <c r="F201" s="58">
        <v>2000000.0</v>
      </c>
      <c r="G201" s="57" t="s">
        <v>251</v>
      </c>
      <c r="H201" s="59" t="s">
        <v>252</v>
      </c>
      <c r="I201" s="60" t="s">
        <v>253</v>
      </c>
      <c r="J201" s="61"/>
      <c r="K201" s="61"/>
      <c r="L201" s="42"/>
      <c r="M201" s="42"/>
      <c r="N201" s="42"/>
      <c r="O201" s="42"/>
      <c r="P201" s="42"/>
      <c r="Q201" s="42"/>
      <c r="R201" s="42"/>
      <c r="S201" s="42"/>
      <c r="T201" s="42"/>
      <c r="U201" s="42"/>
      <c r="V201" s="42"/>
      <c r="W201" s="42"/>
      <c r="X201" s="42"/>
      <c r="Y201" s="42"/>
      <c r="Z201" s="42"/>
    </row>
    <row r="202" ht="57.0" customHeight="1">
      <c r="A202" s="57" t="s">
        <v>247</v>
      </c>
      <c r="B202" s="57" t="s">
        <v>93</v>
      </c>
      <c r="C202" s="57" t="s">
        <v>830</v>
      </c>
      <c r="D202" s="57" t="s">
        <v>831</v>
      </c>
      <c r="E202" s="57" t="s">
        <v>832</v>
      </c>
      <c r="F202" s="58">
        <v>2500000.0</v>
      </c>
      <c r="G202" s="57" t="s">
        <v>251</v>
      </c>
      <c r="H202" s="59" t="s">
        <v>252</v>
      </c>
      <c r="I202" s="60" t="s">
        <v>253</v>
      </c>
      <c r="J202" s="61"/>
      <c r="K202" s="61"/>
      <c r="L202" s="42"/>
      <c r="M202" s="42"/>
      <c r="N202" s="42"/>
      <c r="O202" s="42"/>
      <c r="P202" s="42"/>
      <c r="Q202" s="42"/>
      <c r="R202" s="42"/>
      <c r="S202" s="42"/>
      <c r="T202" s="42"/>
      <c r="U202" s="42"/>
      <c r="V202" s="42"/>
      <c r="W202" s="42"/>
      <c r="X202" s="42"/>
      <c r="Y202" s="42"/>
      <c r="Z202" s="42"/>
    </row>
    <row r="203" ht="57.0" customHeight="1">
      <c r="A203" s="57" t="s">
        <v>247</v>
      </c>
      <c r="B203" s="57" t="s">
        <v>93</v>
      </c>
      <c r="C203" s="57" t="s">
        <v>833</v>
      </c>
      <c r="D203" s="57" t="s">
        <v>834</v>
      </c>
      <c r="E203" s="57" t="s">
        <v>835</v>
      </c>
      <c r="F203" s="58">
        <v>2500000.0</v>
      </c>
      <c r="G203" s="57" t="s">
        <v>251</v>
      </c>
      <c r="H203" s="59" t="s">
        <v>252</v>
      </c>
      <c r="I203" s="60" t="s">
        <v>253</v>
      </c>
      <c r="J203" s="61"/>
      <c r="K203" s="61"/>
      <c r="L203" s="42"/>
      <c r="M203" s="42"/>
      <c r="N203" s="42"/>
      <c r="O203" s="42"/>
      <c r="P203" s="42"/>
      <c r="Q203" s="42"/>
      <c r="R203" s="42"/>
      <c r="S203" s="42"/>
      <c r="T203" s="42"/>
      <c r="U203" s="42"/>
      <c r="V203" s="42"/>
      <c r="W203" s="42"/>
      <c r="X203" s="42"/>
      <c r="Y203" s="42"/>
      <c r="Z203" s="42"/>
    </row>
    <row r="204" ht="30.75" customHeight="1">
      <c r="A204" s="57" t="s">
        <v>247</v>
      </c>
      <c r="B204" s="57" t="s">
        <v>93</v>
      </c>
      <c r="C204" s="57" t="s">
        <v>836</v>
      </c>
      <c r="D204" s="57" t="s">
        <v>837</v>
      </c>
      <c r="E204" s="57" t="s">
        <v>838</v>
      </c>
      <c r="F204" s="58">
        <v>2500000.0</v>
      </c>
      <c r="G204" s="57" t="s">
        <v>251</v>
      </c>
      <c r="H204" s="59" t="s">
        <v>252</v>
      </c>
      <c r="I204" s="60" t="s">
        <v>253</v>
      </c>
      <c r="J204" s="61"/>
      <c r="K204" s="61"/>
      <c r="L204" s="42"/>
      <c r="M204" s="42"/>
      <c r="N204" s="42"/>
      <c r="O204" s="42"/>
      <c r="P204" s="42"/>
      <c r="Q204" s="42"/>
      <c r="R204" s="42"/>
      <c r="S204" s="42"/>
      <c r="T204" s="42"/>
      <c r="U204" s="42"/>
      <c r="V204" s="42"/>
      <c r="W204" s="42"/>
      <c r="X204" s="42"/>
      <c r="Y204" s="42"/>
      <c r="Z204" s="42"/>
    </row>
    <row r="205" ht="30.75" customHeight="1">
      <c r="A205" s="57" t="s">
        <v>247</v>
      </c>
      <c r="B205" s="57" t="s">
        <v>93</v>
      </c>
      <c r="C205" s="57" t="s">
        <v>839</v>
      </c>
      <c r="D205" s="57" t="s">
        <v>840</v>
      </c>
      <c r="E205" s="57" t="s">
        <v>841</v>
      </c>
      <c r="F205" s="58">
        <v>2500000.0</v>
      </c>
      <c r="G205" s="57" t="s">
        <v>251</v>
      </c>
      <c r="H205" s="59" t="s">
        <v>252</v>
      </c>
      <c r="I205" s="60" t="s">
        <v>253</v>
      </c>
      <c r="J205" s="61"/>
      <c r="K205" s="61"/>
      <c r="L205" s="42"/>
      <c r="M205" s="42"/>
      <c r="N205" s="42"/>
      <c r="O205" s="42"/>
      <c r="P205" s="42"/>
      <c r="Q205" s="42"/>
      <c r="R205" s="42"/>
      <c r="S205" s="42"/>
      <c r="T205" s="42"/>
      <c r="U205" s="42"/>
      <c r="V205" s="42"/>
      <c r="W205" s="42"/>
      <c r="X205" s="42"/>
      <c r="Y205" s="42"/>
      <c r="Z205" s="42"/>
    </row>
    <row r="206" ht="57.0" customHeight="1">
      <c r="A206" s="57" t="s">
        <v>247</v>
      </c>
      <c r="B206" s="57" t="s">
        <v>93</v>
      </c>
      <c r="C206" s="57" t="s">
        <v>842</v>
      </c>
      <c r="D206" s="57" t="s">
        <v>843</v>
      </c>
      <c r="E206" s="57" t="s">
        <v>844</v>
      </c>
      <c r="F206" s="58">
        <v>3000000.0</v>
      </c>
      <c r="G206" s="57" t="s">
        <v>251</v>
      </c>
      <c r="H206" s="59" t="s">
        <v>252</v>
      </c>
      <c r="I206" s="60" t="s">
        <v>253</v>
      </c>
      <c r="J206" s="61"/>
      <c r="K206" s="61"/>
      <c r="L206" s="42"/>
      <c r="M206" s="42"/>
      <c r="N206" s="42"/>
      <c r="O206" s="42"/>
      <c r="P206" s="42"/>
      <c r="Q206" s="42"/>
      <c r="R206" s="42"/>
      <c r="S206" s="42"/>
      <c r="T206" s="42"/>
      <c r="U206" s="42"/>
      <c r="V206" s="42"/>
      <c r="W206" s="42"/>
      <c r="X206" s="42"/>
      <c r="Y206" s="42"/>
      <c r="Z206" s="42"/>
    </row>
    <row r="207" ht="30.75" customHeight="1">
      <c r="A207" s="57" t="s">
        <v>247</v>
      </c>
      <c r="B207" s="57" t="s">
        <v>93</v>
      </c>
      <c r="C207" s="57" t="s">
        <v>845</v>
      </c>
      <c r="D207" s="57" t="s">
        <v>846</v>
      </c>
      <c r="E207" s="57" t="s">
        <v>847</v>
      </c>
      <c r="F207" s="58">
        <v>3500000.0</v>
      </c>
      <c r="G207" s="57" t="s">
        <v>251</v>
      </c>
      <c r="H207" s="59" t="s">
        <v>252</v>
      </c>
      <c r="I207" s="60" t="s">
        <v>253</v>
      </c>
      <c r="J207" s="61"/>
      <c r="K207" s="61"/>
      <c r="L207" s="42"/>
      <c r="M207" s="42"/>
      <c r="N207" s="42"/>
      <c r="O207" s="42"/>
      <c r="P207" s="42"/>
      <c r="Q207" s="42"/>
      <c r="R207" s="42"/>
      <c r="S207" s="42"/>
      <c r="T207" s="42"/>
      <c r="U207" s="42"/>
      <c r="V207" s="42"/>
      <c r="W207" s="42"/>
      <c r="X207" s="42"/>
      <c r="Y207" s="42"/>
      <c r="Z207" s="42"/>
    </row>
    <row r="208" ht="57.0" customHeight="1">
      <c r="A208" s="57" t="s">
        <v>247</v>
      </c>
      <c r="B208" s="57" t="s">
        <v>93</v>
      </c>
      <c r="C208" s="57" t="s">
        <v>848</v>
      </c>
      <c r="D208" s="57" t="s">
        <v>849</v>
      </c>
      <c r="E208" s="57" t="s">
        <v>850</v>
      </c>
      <c r="F208" s="58">
        <v>3800000.0</v>
      </c>
      <c r="G208" s="57" t="s">
        <v>251</v>
      </c>
      <c r="H208" s="59" t="s">
        <v>252</v>
      </c>
      <c r="I208" s="60" t="s">
        <v>253</v>
      </c>
      <c r="J208" s="61"/>
      <c r="K208" s="61"/>
      <c r="L208" s="42"/>
      <c r="M208" s="42"/>
      <c r="N208" s="42"/>
      <c r="O208" s="42"/>
      <c r="P208" s="42"/>
      <c r="Q208" s="42"/>
      <c r="R208" s="42"/>
      <c r="S208" s="42"/>
      <c r="T208" s="42"/>
      <c r="U208" s="42"/>
      <c r="V208" s="42"/>
      <c r="W208" s="42"/>
      <c r="X208" s="42"/>
      <c r="Y208" s="42"/>
      <c r="Z208" s="42"/>
    </row>
    <row r="209" ht="57.0" customHeight="1">
      <c r="A209" s="57" t="s">
        <v>247</v>
      </c>
      <c r="B209" s="57" t="s">
        <v>93</v>
      </c>
      <c r="C209" s="57" t="s">
        <v>851</v>
      </c>
      <c r="D209" s="57" t="s">
        <v>852</v>
      </c>
      <c r="E209" s="57" t="s">
        <v>853</v>
      </c>
      <c r="F209" s="58">
        <v>3800000.0</v>
      </c>
      <c r="G209" s="57" t="s">
        <v>251</v>
      </c>
      <c r="H209" s="59" t="s">
        <v>252</v>
      </c>
      <c r="I209" s="60" t="s">
        <v>253</v>
      </c>
      <c r="J209" s="61"/>
      <c r="K209" s="61"/>
      <c r="L209" s="42"/>
      <c r="M209" s="42"/>
      <c r="N209" s="42"/>
      <c r="O209" s="42"/>
      <c r="P209" s="42"/>
      <c r="Q209" s="42"/>
      <c r="R209" s="42"/>
      <c r="S209" s="42"/>
      <c r="T209" s="42"/>
      <c r="U209" s="42"/>
      <c r="V209" s="42"/>
      <c r="W209" s="42"/>
      <c r="X209" s="42"/>
      <c r="Y209" s="42"/>
      <c r="Z209" s="42"/>
    </row>
    <row r="210" ht="57.0" customHeight="1">
      <c r="A210" s="57" t="s">
        <v>247</v>
      </c>
      <c r="B210" s="57" t="s">
        <v>93</v>
      </c>
      <c r="C210" s="57" t="s">
        <v>854</v>
      </c>
      <c r="D210" s="57" t="s">
        <v>855</v>
      </c>
      <c r="E210" s="57" t="s">
        <v>856</v>
      </c>
      <c r="F210" s="58">
        <v>3800000.0</v>
      </c>
      <c r="G210" s="57" t="s">
        <v>251</v>
      </c>
      <c r="H210" s="59" t="s">
        <v>252</v>
      </c>
      <c r="I210" s="60" t="s">
        <v>253</v>
      </c>
      <c r="J210" s="61"/>
      <c r="K210" s="61"/>
      <c r="L210" s="42"/>
      <c r="M210" s="42"/>
      <c r="N210" s="42"/>
      <c r="O210" s="42"/>
      <c r="P210" s="42"/>
      <c r="Q210" s="42"/>
      <c r="R210" s="42"/>
      <c r="S210" s="42"/>
      <c r="T210" s="42"/>
      <c r="U210" s="42"/>
      <c r="V210" s="42"/>
      <c r="W210" s="42"/>
      <c r="X210" s="42"/>
      <c r="Y210" s="42"/>
      <c r="Z210" s="42"/>
    </row>
    <row r="211" ht="57.0" customHeight="1">
      <c r="A211" s="57" t="s">
        <v>247</v>
      </c>
      <c r="B211" s="57" t="s">
        <v>93</v>
      </c>
      <c r="C211" s="57" t="s">
        <v>857</v>
      </c>
      <c r="D211" s="57" t="s">
        <v>858</v>
      </c>
      <c r="E211" s="57" t="s">
        <v>859</v>
      </c>
      <c r="F211" s="58">
        <v>3800000.0</v>
      </c>
      <c r="G211" s="57" t="s">
        <v>251</v>
      </c>
      <c r="H211" s="59" t="s">
        <v>252</v>
      </c>
      <c r="I211" s="60" t="s">
        <v>253</v>
      </c>
      <c r="J211" s="61"/>
      <c r="K211" s="61"/>
      <c r="L211" s="42"/>
      <c r="M211" s="42"/>
      <c r="N211" s="42"/>
      <c r="O211" s="42"/>
      <c r="P211" s="42"/>
      <c r="Q211" s="42"/>
      <c r="R211" s="42"/>
      <c r="S211" s="42"/>
      <c r="T211" s="42"/>
      <c r="U211" s="42"/>
      <c r="V211" s="42"/>
      <c r="W211" s="42"/>
      <c r="X211" s="42"/>
      <c r="Y211" s="42"/>
      <c r="Z211" s="42"/>
    </row>
    <row r="212" ht="57.0" customHeight="1">
      <c r="A212" s="57" t="s">
        <v>247</v>
      </c>
      <c r="B212" s="57" t="s">
        <v>93</v>
      </c>
      <c r="C212" s="57" t="s">
        <v>860</v>
      </c>
      <c r="D212" s="57" t="s">
        <v>861</v>
      </c>
      <c r="E212" s="57" t="s">
        <v>862</v>
      </c>
      <c r="F212" s="58">
        <v>3800000.0</v>
      </c>
      <c r="G212" s="57" t="s">
        <v>251</v>
      </c>
      <c r="H212" s="59" t="s">
        <v>252</v>
      </c>
      <c r="I212" s="60" t="s">
        <v>253</v>
      </c>
      <c r="J212" s="61"/>
      <c r="K212" s="61"/>
      <c r="L212" s="42"/>
      <c r="M212" s="42"/>
      <c r="N212" s="42"/>
      <c r="O212" s="42"/>
      <c r="P212" s="42"/>
      <c r="Q212" s="42"/>
      <c r="R212" s="42"/>
      <c r="S212" s="42"/>
      <c r="T212" s="42"/>
      <c r="U212" s="42"/>
      <c r="V212" s="42"/>
      <c r="W212" s="42"/>
      <c r="X212" s="42"/>
      <c r="Y212" s="42"/>
      <c r="Z212" s="42"/>
    </row>
    <row r="213" ht="57.0" customHeight="1">
      <c r="A213" s="57" t="s">
        <v>247</v>
      </c>
      <c r="B213" s="57" t="s">
        <v>93</v>
      </c>
      <c r="C213" s="57" t="s">
        <v>863</v>
      </c>
      <c r="D213" s="57" t="s">
        <v>864</v>
      </c>
      <c r="E213" s="57" t="s">
        <v>865</v>
      </c>
      <c r="F213" s="58">
        <v>4280000.0</v>
      </c>
      <c r="G213" s="57" t="s">
        <v>251</v>
      </c>
      <c r="H213" s="59" t="s">
        <v>252</v>
      </c>
      <c r="I213" s="60" t="s">
        <v>253</v>
      </c>
      <c r="J213" s="61"/>
      <c r="K213" s="61"/>
      <c r="L213" s="42"/>
      <c r="M213" s="42"/>
      <c r="N213" s="42"/>
      <c r="O213" s="42"/>
      <c r="P213" s="42"/>
      <c r="Q213" s="42"/>
      <c r="R213" s="42"/>
      <c r="S213" s="42"/>
      <c r="T213" s="42"/>
      <c r="U213" s="42"/>
      <c r="V213" s="42"/>
      <c r="W213" s="42"/>
      <c r="X213" s="42"/>
      <c r="Y213" s="42"/>
      <c r="Z213" s="42"/>
    </row>
    <row r="214" ht="30.75" customHeight="1">
      <c r="A214" s="57" t="s">
        <v>247</v>
      </c>
      <c r="B214" s="57" t="s">
        <v>93</v>
      </c>
      <c r="C214" s="57" t="s">
        <v>866</v>
      </c>
      <c r="D214" s="57" t="s">
        <v>867</v>
      </c>
      <c r="E214" s="57" t="s">
        <v>868</v>
      </c>
      <c r="F214" s="58">
        <v>4400000.0</v>
      </c>
      <c r="G214" s="57" t="s">
        <v>251</v>
      </c>
      <c r="H214" s="59" t="s">
        <v>252</v>
      </c>
      <c r="I214" s="60" t="s">
        <v>253</v>
      </c>
      <c r="J214" s="61"/>
      <c r="K214" s="61"/>
      <c r="L214" s="42"/>
      <c r="M214" s="42"/>
      <c r="N214" s="42"/>
      <c r="O214" s="42"/>
      <c r="P214" s="42"/>
      <c r="Q214" s="42"/>
      <c r="R214" s="42"/>
      <c r="S214" s="42"/>
      <c r="T214" s="42"/>
      <c r="U214" s="42"/>
      <c r="V214" s="42"/>
      <c r="W214" s="42"/>
      <c r="X214" s="42"/>
      <c r="Y214" s="42"/>
      <c r="Z214" s="42"/>
    </row>
    <row r="215" ht="57.0" customHeight="1">
      <c r="A215" s="57" t="s">
        <v>247</v>
      </c>
      <c r="B215" s="57" t="s">
        <v>93</v>
      </c>
      <c r="C215" s="57" t="s">
        <v>869</v>
      </c>
      <c r="D215" s="57" t="s">
        <v>870</v>
      </c>
      <c r="E215" s="57" t="s">
        <v>871</v>
      </c>
      <c r="F215" s="58">
        <v>4500000.0</v>
      </c>
      <c r="G215" s="57" t="s">
        <v>251</v>
      </c>
      <c r="H215" s="59" t="s">
        <v>252</v>
      </c>
      <c r="I215" s="60" t="s">
        <v>253</v>
      </c>
      <c r="J215" s="61"/>
      <c r="K215" s="61"/>
      <c r="L215" s="42"/>
      <c r="M215" s="42"/>
      <c r="N215" s="42"/>
      <c r="O215" s="42"/>
      <c r="P215" s="42"/>
      <c r="Q215" s="42"/>
      <c r="R215" s="42"/>
      <c r="S215" s="42"/>
      <c r="T215" s="42"/>
      <c r="U215" s="42"/>
      <c r="V215" s="42"/>
      <c r="W215" s="42"/>
      <c r="X215" s="42"/>
      <c r="Y215" s="42"/>
      <c r="Z215" s="42"/>
    </row>
    <row r="216" ht="57.0" customHeight="1">
      <c r="A216" s="57" t="s">
        <v>247</v>
      </c>
      <c r="B216" s="57" t="s">
        <v>93</v>
      </c>
      <c r="C216" s="57" t="s">
        <v>872</v>
      </c>
      <c r="D216" s="57" t="s">
        <v>873</v>
      </c>
      <c r="E216" s="57" t="s">
        <v>874</v>
      </c>
      <c r="F216" s="58">
        <v>4500000.0</v>
      </c>
      <c r="G216" s="57" t="s">
        <v>251</v>
      </c>
      <c r="H216" s="59" t="s">
        <v>252</v>
      </c>
      <c r="I216" s="60" t="s">
        <v>253</v>
      </c>
      <c r="J216" s="61"/>
      <c r="K216" s="61"/>
      <c r="L216" s="42"/>
      <c r="M216" s="42"/>
      <c r="N216" s="42"/>
      <c r="O216" s="42"/>
      <c r="P216" s="42"/>
      <c r="Q216" s="42"/>
      <c r="R216" s="42"/>
      <c r="S216" s="42"/>
      <c r="T216" s="42"/>
      <c r="U216" s="42"/>
      <c r="V216" s="42"/>
      <c r="W216" s="42"/>
      <c r="X216" s="42"/>
      <c r="Y216" s="42"/>
      <c r="Z216" s="42"/>
    </row>
    <row r="217" ht="57.0" customHeight="1">
      <c r="A217" s="57" t="s">
        <v>247</v>
      </c>
      <c r="B217" s="57" t="s">
        <v>93</v>
      </c>
      <c r="C217" s="57" t="s">
        <v>875</v>
      </c>
      <c r="D217" s="57" t="s">
        <v>876</v>
      </c>
      <c r="E217" s="57" t="s">
        <v>877</v>
      </c>
      <c r="F217" s="58">
        <v>4500000.0</v>
      </c>
      <c r="G217" s="57" t="s">
        <v>251</v>
      </c>
      <c r="H217" s="59" t="s">
        <v>252</v>
      </c>
      <c r="I217" s="60" t="s">
        <v>253</v>
      </c>
      <c r="J217" s="61"/>
      <c r="K217" s="61"/>
      <c r="L217" s="42"/>
      <c r="M217" s="42"/>
      <c r="N217" s="42"/>
      <c r="O217" s="42"/>
      <c r="P217" s="42"/>
      <c r="Q217" s="42"/>
      <c r="R217" s="42"/>
      <c r="S217" s="42"/>
      <c r="T217" s="42"/>
      <c r="U217" s="42"/>
      <c r="V217" s="42"/>
      <c r="W217" s="42"/>
      <c r="X217" s="42"/>
      <c r="Y217" s="42"/>
      <c r="Z217" s="42"/>
    </row>
    <row r="218" ht="57.0" customHeight="1">
      <c r="A218" s="57" t="s">
        <v>247</v>
      </c>
      <c r="B218" s="57" t="s">
        <v>93</v>
      </c>
      <c r="C218" s="57" t="s">
        <v>878</v>
      </c>
      <c r="D218" s="57" t="s">
        <v>879</v>
      </c>
      <c r="E218" s="57" t="s">
        <v>880</v>
      </c>
      <c r="F218" s="58">
        <v>5000000.0</v>
      </c>
      <c r="G218" s="57" t="s">
        <v>251</v>
      </c>
      <c r="H218" s="59" t="s">
        <v>252</v>
      </c>
      <c r="I218" s="60" t="s">
        <v>253</v>
      </c>
      <c r="J218" s="61"/>
      <c r="K218" s="61"/>
      <c r="L218" s="42"/>
      <c r="M218" s="42"/>
      <c r="N218" s="42"/>
      <c r="O218" s="42"/>
      <c r="P218" s="42"/>
      <c r="Q218" s="42"/>
      <c r="R218" s="42"/>
      <c r="S218" s="42"/>
      <c r="T218" s="42"/>
      <c r="U218" s="42"/>
      <c r="V218" s="42"/>
      <c r="W218" s="42"/>
      <c r="X218" s="42"/>
      <c r="Y218" s="42"/>
      <c r="Z218" s="42"/>
    </row>
    <row r="219" ht="57.0" customHeight="1">
      <c r="A219" s="57" t="s">
        <v>247</v>
      </c>
      <c r="B219" s="57" t="s">
        <v>93</v>
      </c>
      <c r="C219" s="57" t="s">
        <v>881</v>
      </c>
      <c r="D219" s="57" t="s">
        <v>882</v>
      </c>
      <c r="E219" s="57" t="s">
        <v>883</v>
      </c>
      <c r="F219" s="58">
        <v>5000000.0</v>
      </c>
      <c r="G219" s="57" t="s">
        <v>251</v>
      </c>
      <c r="H219" s="59" t="s">
        <v>252</v>
      </c>
      <c r="I219" s="60" t="s">
        <v>253</v>
      </c>
      <c r="J219" s="61"/>
      <c r="K219" s="61"/>
      <c r="L219" s="42"/>
      <c r="M219" s="42"/>
      <c r="N219" s="42"/>
      <c r="O219" s="42"/>
      <c r="P219" s="42"/>
      <c r="Q219" s="42"/>
      <c r="R219" s="42"/>
      <c r="S219" s="42"/>
      <c r="T219" s="42"/>
      <c r="U219" s="42"/>
      <c r="V219" s="42"/>
      <c r="W219" s="42"/>
      <c r="X219" s="42"/>
      <c r="Y219" s="42"/>
      <c r="Z219" s="42"/>
    </row>
    <row r="220" ht="57.0" customHeight="1">
      <c r="A220" s="57" t="s">
        <v>247</v>
      </c>
      <c r="B220" s="57" t="s">
        <v>93</v>
      </c>
      <c r="C220" s="57" t="s">
        <v>884</v>
      </c>
      <c r="D220" s="57" t="s">
        <v>885</v>
      </c>
      <c r="E220" s="57" t="s">
        <v>886</v>
      </c>
      <c r="F220" s="58">
        <v>5350000.0</v>
      </c>
      <c r="G220" s="57" t="s">
        <v>251</v>
      </c>
      <c r="H220" s="59" t="s">
        <v>252</v>
      </c>
      <c r="I220" s="60" t="s">
        <v>253</v>
      </c>
      <c r="J220" s="61"/>
      <c r="K220" s="61"/>
      <c r="L220" s="42"/>
      <c r="M220" s="42"/>
      <c r="N220" s="42"/>
      <c r="O220" s="42"/>
      <c r="P220" s="42"/>
      <c r="Q220" s="42"/>
      <c r="R220" s="42"/>
      <c r="S220" s="42"/>
      <c r="T220" s="42"/>
      <c r="U220" s="42"/>
      <c r="V220" s="42"/>
      <c r="W220" s="42"/>
      <c r="X220" s="42"/>
      <c r="Y220" s="42"/>
      <c r="Z220" s="42"/>
    </row>
    <row r="221" ht="30.75" customHeight="1">
      <c r="A221" s="57" t="s">
        <v>247</v>
      </c>
      <c r="B221" s="57" t="s">
        <v>93</v>
      </c>
      <c r="C221" s="57" t="s">
        <v>887</v>
      </c>
      <c r="D221" s="57" t="s">
        <v>888</v>
      </c>
      <c r="E221" s="57" t="s">
        <v>889</v>
      </c>
      <c r="F221" s="58">
        <v>5500000.0</v>
      </c>
      <c r="G221" s="57" t="s">
        <v>251</v>
      </c>
      <c r="H221" s="59" t="s">
        <v>252</v>
      </c>
      <c r="I221" s="60" t="s">
        <v>253</v>
      </c>
      <c r="J221" s="61"/>
      <c r="K221" s="61"/>
      <c r="L221" s="42"/>
      <c r="M221" s="42"/>
      <c r="N221" s="42"/>
      <c r="O221" s="42"/>
      <c r="P221" s="42"/>
      <c r="Q221" s="42"/>
      <c r="R221" s="42"/>
      <c r="S221" s="42"/>
      <c r="T221" s="42"/>
      <c r="U221" s="42"/>
      <c r="V221" s="42"/>
      <c r="W221" s="42"/>
      <c r="X221" s="42"/>
      <c r="Y221" s="42"/>
      <c r="Z221" s="42"/>
    </row>
    <row r="222" ht="57.0" customHeight="1">
      <c r="A222" s="57" t="s">
        <v>247</v>
      </c>
      <c r="B222" s="57" t="s">
        <v>93</v>
      </c>
      <c r="C222" s="57" t="s">
        <v>890</v>
      </c>
      <c r="D222" s="57" t="s">
        <v>891</v>
      </c>
      <c r="E222" s="57" t="s">
        <v>892</v>
      </c>
      <c r="F222" s="58">
        <v>5500000.0</v>
      </c>
      <c r="G222" s="57" t="s">
        <v>251</v>
      </c>
      <c r="H222" s="59" t="s">
        <v>252</v>
      </c>
      <c r="I222" s="60" t="s">
        <v>253</v>
      </c>
      <c r="J222" s="61"/>
      <c r="K222" s="61"/>
      <c r="L222" s="42"/>
      <c r="M222" s="42"/>
      <c r="N222" s="42"/>
      <c r="O222" s="42"/>
      <c r="P222" s="42"/>
      <c r="Q222" s="42"/>
      <c r="R222" s="42"/>
      <c r="S222" s="42"/>
      <c r="T222" s="42"/>
      <c r="U222" s="42"/>
      <c r="V222" s="42"/>
      <c r="W222" s="42"/>
      <c r="X222" s="42"/>
      <c r="Y222" s="42"/>
      <c r="Z222" s="42"/>
    </row>
    <row r="223" ht="30.75" customHeight="1">
      <c r="A223" s="57" t="s">
        <v>247</v>
      </c>
      <c r="B223" s="57" t="s">
        <v>93</v>
      </c>
      <c r="C223" s="57" t="s">
        <v>893</v>
      </c>
      <c r="D223" s="57" t="s">
        <v>894</v>
      </c>
      <c r="E223" s="57" t="s">
        <v>895</v>
      </c>
      <c r="F223" s="58">
        <v>6000000.0</v>
      </c>
      <c r="G223" s="57" t="s">
        <v>251</v>
      </c>
      <c r="H223" s="59" t="s">
        <v>252</v>
      </c>
      <c r="I223" s="60" t="s">
        <v>253</v>
      </c>
      <c r="J223" s="61"/>
      <c r="K223" s="61"/>
      <c r="L223" s="42"/>
      <c r="M223" s="42"/>
      <c r="N223" s="42"/>
      <c r="O223" s="42"/>
      <c r="P223" s="42"/>
      <c r="Q223" s="42"/>
      <c r="R223" s="42"/>
      <c r="S223" s="42"/>
      <c r="T223" s="42"/>
      <c r="U223" s="42"/>
      <c r="V223" s="42"/>
      <c r="W223" s="42"/>
      <c r="X223" s="42"/>
      <c r="Y223" s="42"/>
      <c r="Z223" s="42"/>
    </row>
    <row r="224" ht="57.0" customHeight="1">
      <c r="A224" s="57" t="s">
        <v>247</v>
      </c>
      <c r="B224" s="57" t="s">
        <v>93</v>
      </c>
      <c r="C224" s="57" t="s">
        <v>896</v>
      </c>
      <c r="D224" s="57" t="s">
        <v>897</v>
      </c>
      <c r="E224" s="57" t="s">
        <v>898</v>
      </c>
      <c r="F224" s="58">
        <v>7000000.0</v>
      </c>
      <c r="G224" s="57" t="s">
        <v>251</v>
      </c>
      <c r="H224" s="59" t="s">
        <v>252</v>
      </c>
      <c r="I224" s="60" t="s">
        <v>253</v>
      </c>
      <c r="J224" s="61"/>
      <c r="K224" s="61"/>
      <c r="L224" s="42"/>
      <c r="M224" s="42"/>
      <c r="N224" s="42"/>
      <c r="O224" s="42"/>
      <c r="P224" s="42"/>
      <c r="Q224" s="42"/>
      <c r="R224" s="42"/>
      <c r="S224" s="42"/>
      <c r="T224" s="42"/>
      <c r="U224" s="42"/>
      <c r="V224" s="42"/>
      <c r="W224" s="42"/>
      <c r="X224" s="42"/>
      <c r="Y224" s="42"/>
      <c r="Z224" s="42"/>
    </row>
    <row r="225" ht="85.5" customHeight="1">
      <c r="A225" s="57" t="s">
        <v>247</v>
      </c>
      <c r="B225" s="57" t="s">
        <v>93</v>
      </c>
      <c r="C225" s="57" t="s">
        <v>899</v>
      </c>
      <c r="D225" s="57" t="s">
        <v>900</v>
      </c>
      <c r="E225" s="57" t="s">
        <v>901</v>
      </c>
      <c r="F225" s="58">
        <v>9000000.0</v>
      </c>
      <c r="G225" s="57" t="s">
        <v>251</v>
      </c>
      <c r="H225" s="59" t="s">
        <v>252</v>
      </c>
      <c r="I225" s="60" t="s">
        <v>253</v>
      </c>
      <c r="J225" s="61"/>
      <c r="K225" s="61"/>
      <c r="L225" s="42"/>
      <c r="M225" s="42"/>
      <c r="N225" s="42"/>
      <c r="O225" s="42"/>
      <c r="P225" s="42"/>
      <c r="Q225" s="42"/>
      <c r="R225" s="42"/>
      <c r="S225" s="42"/>
      <c r="T225" s="42"/>
      <c r="U225" s="42"/>
      <c r="V225" s="42"/>
      <c r="W225" s="42"/>
      <c r="X225" s="42"/>
      <c r="Y225" s="42"/>
      <c r="Z225" s="42"/>
    </row>
    <row r="226" ht="85.5" customHeight="1">
      <c r="A226" s="57" t="s">
        <v>247</v>
      </c>
      <c r="B226" s="57" t="s">
        <v>93</v>
      </c>
      <c r="C226" s="57" t="s">
        <v>902</v>
      </c>
      <c r="D226" s="57" t="s">
        <v>903</v>
      </c>
      <c r="E226" s="57" t="s">
        <v>904</v>
      </c>
      <c r="F226" s="58">
        <v>1.0E7</v>
      </c>
      <c r="G226" s="57" t="s">
        <v>251</v>
      </c>
      <c r="H226" s="59" t="s">
        <v>252</v>
      </c>
      <c r="I226" s="60" t="s">
        <v>253</v>
      </c>
      <c r="J226" s="61"/>
      <c r="K226" s="61"/>
      <c r="L226" s="42"/>
      <c r="M226" s="42"/>
      <c r="N226" s="42"/>
      <c r="O226" s="42"/>
      <c r="P226" s="42"/>
      <c r="Q226" s="42"/>
      <c r="R226" s="42"/>
      <c r="S226" s="42"/>
      <c r="T226" s="42"/>
      <c r="U226" s="42"/>
      <c r="V226" s="42"/>
      <c r="W226" s="42"/>
      <c r="X226" s="42"/>
      <c r="Y226" s="42"/>
      <c r="Z226" s="42"/>
    </row>
    <row r="227" ht="57.0" customHeight="1">
      <c r="A227" s="57" t="s">
        <v>247</v>
      </c>
      <c r="B227" s="57" t="s">
        <v>93</v>
      </c>
      <c r="C227" s="57" t="s">
        <v>905</v>
      </c>
      <c r="D227" s="57" t="s">
        <v>906</v>
      </c>
      <c r="E227" s="57" t="s">
        <v>907</v>
      </c>
      <c r="F227" s="66">
        <v>4500000.0</v>
      </c>
      <c r="G227" s="57" t="s">
        <v>251</v>
      </c>
      <c r="H227" s="59" t="s">
        <v>252</v>
      </c>
      <c r="I227" s="60" t="s">
        <v>253</v>
      </c>
      <c r="J227" s="61"/>
      <c r="K227" s="61"/>
      <c r="L227" s="42"/>
      <c r="M227" s="42"/>
      <c r="N227" s="42"/>
      <c r="O227" s="42"/>
      <c r="P227" s="42"/>
      <c r="Q227" s="42"/>
      <c r="R227" s="42"/>
      <c r="S227" s="42"/>
      <c r="T227" s="42"/>
      <c r="U227" s="42"/>
      <c r="V227" s="42"/>
      <c r="W227" s="42"/>
      <c r="X227" s="42"/>
      <c r="Y227" s="42"/>
      <c r="Z227" s="42"/>
    </row>
    <row r="228" ht="57.0" customHeight="1">
      <c r="A228" s="57" t="s">
        <v>247</v>
      </c>
      <c r="B228" s="57" t="s">
        <v>93</v>
      </c>
      <c r="C228" s="57" t="s">
        <v>908</v>
      </c>
      <c r="D228" s="57" t="s">
        <v>909</v>
      </c>
      <c r="E228" s="57" t="s">
        <v>910</v>
      </c>
      <c r="F228" s="66">
        <v>2500000.0</v>
      </c>
      <c r="G228" s="57" t="s">
        <v>251</v>
      </c>
      <c r="H228" s="59" t="s">
        <v>252</v>
      </c>
      <c r="I228" s="60" t="s">
        <v>253</v>
      </c>
      <c r="J228" s="61"/>
      <c r="K228" s="61"/>
      <c r="L228" s="42"/>
      <c r="M228" s="42"/>
      <c r="N228" s="42"/>
      <c r="O228" s="42"/>
      <c r="P228" s="42"/>
      <c r="Q228" s="42"/>
      <c r="R228" s="42"/>
      <c r="S228" s="42"/>
      <c r="T228" s="42"/>
      <c r="U228" s="42"/>
      <c r="V228" s="42"/>
      <c r="W228" s="42"/>
      <c r="X228" s="42"/>
      <c r="Y228" s="42"/>
      <c r="Z228" s="42"/>
    </row>
    <row r="229" ht="57.0" customHeight="1">
      <c r="A229" s="57" t="s">
        <v>247</v>
      </c>
      <c r="B229" s="57" t="s">
        <v>93</v>
      </c>
      <c r="C229" s="57" t="s">
        <v>911</v>
      </c>
      <c r="D229" s="57" t="s">
        <v>912</v>
      </c>
      <c r="E229" s="57" t="s">
        <v>913</v>
      </c>
      <c r="F229" s="66">
        <v>1000000.0</v>
      </c>
      <c r="G229" s="57" t="s">
        <v>251</v>
      </c>
      <c r="H229" s="59" t="s">
        <v>252</v>
      </c>
      <c r="I229" s="60" t="s">
        <v>253</v>
      </c>
      <c r="J229" s="61"/>
      <c r="K229" s="61"/>
      <c r="L229" s="42"/>
      <c r="M229" s="42"/>
      <c r="N229" s="42"/>
      <c r="O229" s="42"/>
      <c r="P229" s="42"/>
      <c r="Q229" s="42"/>
      <c r="R229" s="42"/>
      <c r="S229" s="42"/>
      <c r="T229" s="42"/>
      <c r="U229" s="42"/>
      <c r="V229" s="42"/>
      <c r="W229" s="42"/>
      <c r="X229" s="42"/>
      <c r="Y229" s="42"/>
      <c r="Z229" s="42"/>
    </row>
    <row r="230" ht="57.0" customHeight="1">
      <c r="A230" s="57" t="s">
        <v>247</v>
      </c>
      <c r="B230" s="57" t="s">
        <v>93</v>
      </c>
      <c r="C230" s="57" t="s">
        <v>914</v>
      </c>
      <c r="D230" s="57" t="s">
        <v>915</v>
      </c>
      <c r="E230" s="57" t="s">
        <v>916</v>
      </c>
      <c r="F230" s="66">
        <v>1800000.0</v>
      </c>
      <c r="G230" s="57" t="s">
        <v>251</v>
      </c>
      <c r="H230" s="59" t="s">
        <v>252</v>
      </c>
      <c r="I230" s="60" t="s">
        <v>253</v>
      </c>
      <c r="J230" s="61"/>
      <c r="K230" s="61"/>
      <c r="L230" s="42"/>
      <c r="M230" s="42"/>
      <c r="N230" s="42"/>
      <c r="O230" s="42"/>
      <c r="P230" s="42"/>
      <c r="Q230" s="42"/>
      <c r="R230" s="42"/>
      <c r="S230" s="42"/>
      <c r="T230" s="42"/>
      <c r="U230" s="42"/>
      <c r="V230" s="42"/>
      <c r="W230" s="42"/>
      <c r="X230" s="42"/>
      <c r="Y230" s="42"/>
      <c r="Z230" s="42"/>
    </row>
    <row r="231" ht="57.0" customHeight="1">
      <c r="A231" s="57" t="s">
        <v>247</v>
      </c>
      <c r="B231" s="57" t="s">
        <v>93</v>
      </c>
      <c r="C231" s="57" t="s">
        <v>917</v>
      </c>
      <c r="D231" s="57" t="s">
        <v>918</v>
      </c>
      <c r="E231" s="57" t="s">
        <v>919</v>
      </c>
      <c r="F231" s="58">
        <v>3800000.0</v>
      </c>
      <c r="G231" s="59" t="s">
        <v>251</v>
      </c>
      <c r="H231" s="59" t="s">
        <v>252</v>
      </c>
      <c r="I231" s="60" t="s">
        <v>468</v>
      </c>
      <c r="J231" s="61"/>
      <c r="K231" s="61"/>
      <c r="L231" s="42"/>
      <c r="M231" s="42"/>
      <c r="N231" s="42"/>
      <c r="O231" s="42"/>
      <c r="P231" s="42"/>
      <c r="Q231" s="42"/>
      <c r="R231" s="42"/>
      <c r="S231" s="42"/>
      <c r="T231" s="42"/>
      <c r="U231" s="42"/>
      <c r="V231" s="42"/>
      <c r="W231" s="42"/>
      <c r="X231" s="42"/>
      <c r="Y231" s="42"/>
      <c r="Z231" s="42"/>
    </row>
    <row r="232" ht="57.0" customHeight="1">
      <c r="A232" s="57" t="s">
        <v>247</v>
      </c>
      <c r="B232" s="57" t="s">
        <v>93</v>
      </c>
      <c r="C232" s="57" t="s">
        <v>920</v>
      </c>
      <c r="D232" s="57" t="s">
        <v>921</v>
      </c>
      <c r="E232" s="59" t="s">
        <v>922</v>
      </c>
      <c r="F232" s="58">
        <v>2400000.0</v>
      </c>
      <c r="G232" s="59" t="s">
        <v>251</v>
      </c>
      <c r="H232" s="59" t="s">
        <v>252</v>
      </c>
      <c r="I232" s="60" t="s">
        <v>468</v>
      </c>
      <c r="J232" s="61"/>
      <c r="K232" s="61"/>
      <c r="L232" s="42"/>
      <c r="M232" s="42"/>
      <c r="N232" s="42"/>
      <c r="O232" s="42"/>
      <c r="P232" s="42"/>
      <c r="Q232" s="42"/>
      <c r="R232" s="42"/>
      <c r="S232" s="42"/>
      <c r="T232" s="42"/>
      <c r="U232" s="42"/>
      <c r="V232" s="42"/>
      <c r="W232" s="42"/>
      <c r="X232" s="42"/>
      <c r="Y232" s="42"/>
      <c r="Z232" s="42"/>
    </row>
    <row r="233" ht="57.0" customHeight="1">
      <c r="A233" s="57" t="s">
        <v>247</v>
      </c>
      <c r="B233" s="57" t="s">
        <v>93</v>
      </c>
      <c r="C233" s="57" t="s">
        <v>923</v>
      </c>
      <c r="D233" s="57" t="s">
        <v>924</v>
      </c>
      <c r="E233" s="57" t="s">
        <v>925</v>
      </c>
      <c r="F233" s="58">
        <v>2500000.0</v>
      </c>
      <c r="G233" s="57" t="s">
        <v>251</v>
      </c>
      <c r="H233" s="59" t="s">
        <v>252</v>
      </c>
      <c r="I233" s="59" t="s">
        <v>472</v>
      </c>
      <c r="J233" s="61"/>
      <c r="K233" s="61"/>
      <c r="L233" s="42"/>
      <c r="M233" s="42"/>
      <c r="N233" s="42"/>
      <c r="O233" s="42"/>
      <c r="P233" s="42"/>
      <c r="Q233" s="42"/>
      <c r="R233" s="42"/>
      <c r="S233" s="42"/>
      <c r="T233" s="42"/>
      <c r="U233" s="42"/>
      <c r="V233" s="42"/>
      <c r="W233" s="42"/>
      <c r="X233" s="42"/>
      <c r="Y233" s="42"/>
      <c r="Z233" s="42"/>
    </row>
    <row r="234" ht="28.5" customHeight="1">
      <c r="A234" s="57" t="s">
        <v>247</v>
      </c>
      <c r="B234" s="57" t="s">
        <v>93</v>
      </c>
      <c r="C234" s="57" t="s">
        <v>926</v>
      </c>
      <c r="D234" s="57" t="s">
        <v>927</v>
      </c>
      <c r="E234" s="57" t="s">
        <v>928</v>
      </c>
      <c r="F234" s="58">
        <v>300000.0</v>
      </c>
      <c r="G234" s="57" t="s">
        <v>251</v>
      </c>
      <c r="H234" s="59" t="s">
        <v>252</v>
      </c>
      <c r="I234" s="59" t="s">
        <v>472</v>
      </c>
      <c r="J234" s="61"/>
      <c r="K234" s="61"/>
      <c r="L234" s="42"/>
      <c r="M234" s="42"/>
      <c r="N234" s="42"/>
      <c r="O234" s="42"/>
      <c r="P234" s="42"/>
      <c r="Q234" s="42"/>
      <c r="R234" s="42"/>
      <c r="S234" s="42"/>
      <c r="T234" s="42"/>
      <c r="U234" s="42"/>
      <c r="V234" s="42"/>
      <c r="W234" s="42"/>
      <c r="X234" s="42"/>
      <c r="Y234" s="42"/>
      <c r="Z234" s="42"/>
    </row>
    <row r="235" ht="57.0" customHeight="1">
      <c r="A235" s="57" t="s">
        <v>247</v>
      </c>
      <c r="B235" s="57" t="s">
        <v>93</v>
      </c>
      <c r="C235" s="57" t="s">
        <v>929</v>
      </c>
      <c r="D235" s="57" t="s">
        <v>930</v>
      </c>
      <c r="E235" s="57" t="s">
        <v>931</v>
      </c>
      <c r="F235" s="58">
        <v>2500000.0</v>
      </c>
      <c r="G235" s="57" t="s">
        <v>251</v>
      </c>
      <c r="H235" s="59" t="s">
        <v>252</v>
      </c>
      <c r="I235" s="59" t="s">
        <v>472</v>
      </c>
      <c r="J235" s="61"/>
      <c r="K235" s="61"/>
      <c r="L235" s="42"/>
      <c r="M235" s="42"/>
      <c r="N235" s="42"/>
      <c r="O235" s="42"/>
      <c r="P235" s="42"/>
      <c r="Q235" s="42"/>
      <c r="R235" s="42"/>
      <c r="S235" s="42"/>
      <c r="T235" s="42"/>
      <c r="U235" s="42"/>
      <c r="V235" s="42"/>
      <c r="W235" s="42"/>
      <c r="X235" s="42"/>
      <c r="Y235" s="42"/>
      <c r="Z235" s="42"/>
    </row>
    <row r="236" ht="85.5" customHeight="1">
      <c r="A236" s="57" t="s">
        <v>247</v>
      </c>
      <c r="B236" s="57" t="s">
        <v>93</v>
      </c>
      <c r="C236" s="57" t="s">
        <v>932</v>
      </c>
      <c r="D236" s="57" t="s">
        <v>933</v>
      </c>
      <c r="E236" s="57" t="s">
        <v>934</v>
      </c>
      <c r="F236" s="58">
        <v>900000.0</v>
      </c>
      <c r="G236" s="57" t="s">
        <v>251</v>
      </c>
      <c r="H236" s="59" t="s">
        <v>252</v>
      </c>
      <c r="I236" s="59" t="s">
        <v>472</v>
      </c>
      <c r="J236" s="61"/>
      <c r="K236" s="61"/>
      <c r="L236" s="42"/>
      <c r="M236" s="42"/>
      <c r="N236" s="42"/>
      <c r="O236" s="42"/>
      <c r="P236" s="42"/>
      <c r="Q236" s="42"/>
      <c r="R236" s="42"/>
      <c r="S236" s="42"/>
      <c r="T236" s="42"/>
      <c r="U236" s="42"/>
      <c r="V236" s="42"/>
      <c r="W236" s="42"/>
      <c r="X236" s="42"/>
      <c r="Y236" s="42"/>
      <c r="Z236" s="42"/>
    </row>
    <row r="237" ht="85.5" customHeight="1">
      <c r="A237" s="57" t="s">
        <v>247</v>
      </c>
      <c r="B237" s="57" t="s">
        <v>93</v>
      </c>
      <c r="C237" s="57" t="s">
        <v>935</v>
      </c>
      <c r="D237" s="57" t="s">
        <v>936</v>
      </c>
      <c r="E237" s="57" t="s">
        <v>937</v>
      </c>
      <c r="F237" s="58">
        <v>2500000.0</v>
      </c>
      <c r="G237" s="57" t="s">
        <v>251</v>
      </c>
      <c r="H237" s="59" t="s">
        <v>252</v>
      </c>
      <c r="I237" s="59" t="s">
        <v>472</v>
      </c>
      <c r="J237" s="61"/>
      <c r="K237" s="61"/>
      <c r="L237" s="42"/>
      <c r="M237" s="42"/>
      <c r="N237" s="42"/>
      <c r="O237" s="42"/>
      <c r="P237" s="42"/>
      <c r="Q237" s="42"/>
      <c r="R237" s="42"/>
      <c r="S237" s="42"/>
      <c r="T237" s="42"/>
      <c r="U237" s="42"/>
      <c r="V237" s="42"/>
      <c r="W237" s="42"/>
      <c r="X237" s="42"/>
      <c r="Y237" s="42"/>
      <c r="Z237" s="42"/>
    </row>
    <row r="238" ht="28.5" customHeight="1">
      <c r="A238" s="57" t="s">
        <v>247</v>
      </c>
      <c r="B238" s="57" t="s">
        <v>93</v>
      </c>
      <c r="C238" s="57" t="s">
        <v>938</v>
      </c>
      <c r="D238" s="57" t="s">
        <v>939</v>
      </c>
      <c r="E238" s="57" t="s">
        <v>940</v>
      </c>
      <c r="F238" s="58">
        <v>300000.0</v>
      </c>
      <c r="G238" s="57" t="s">
        <v>467</v>
      </c>
      <c r="H238" s="59" t="s">
        <v>252</v>
      </c>
      <c r="I238" s="59" t="s">
        <v>472</v>
      </c>
      <c r="J238" s="61"/>
      <c r="K238" s="61"/>
      <c r="L238" s="42"/>
      <c r="M238" s="42"/>
      <c r="N238" s="42"/>
      <c r="O238" s="42"/>
      <c r="P238" s="42"/>
      <c r="Q238" s="42"/>
      <c r="R238" s="42"/>
      <c r="S238" s="42"/>
      <c r="T238" s="42"/>
      <c r="U238" s="42"/>
      <c r="V238" s="42"/>
      <c r="W238" s="42"/>
      <c r="X238" s="42"/>
      <c r="Y238" s="42"/>
      <c r="Z238" s="42"/>
    </row>
    <row r="239" ht="28.5" customHeight="1">
      <c r="A239" s="57" t="s">
        <v>247</v>
      </c>
      <c r="B239" s="57" t="s">
        <v>93</v>
      </c>
      <c r="C239" s="57" t="s">
        <v>941</v>
      </c>
      <c r="D239" s="57" t="s">
        <v>942</v>
      </c>
      <c r="E239" s="57" t="s">
        <v>943</v>
      </c>
      <c r="F239" s="58">
        <v>100000.0</v>
      </c>
      <c r="G239" s="57" t="s">
        <v>467</v>
      </c>
      <c r="H239" s="59" t="s">
        <v>252</v>
      </c>
      <c r="I239" s="59" t="s">
        <v>472</v>
      </c>
      <c r="J239" s="61"/>
      <c r="K239" s="61"/>
      <c r="L239" s="42"/>
      <c r="M239" s="42"/>
      <c r="N239" s="42"/>
      <c r="O239" s="42"/>
      <c r="P239" s="42"/>
      <c r="Q239" s="42"/>
      <c r="R239" s="42"/>
      <c r="S239" s="42"/>
      <c r="T239" s="42"/>
      <c r="U239" s="42"/>
      <c r="V239" s="42"/>
      <c r="W239" s="42"/>
      <c r="X239" s="42"/>
      <c r="Y239" s="42"/>
      <c r="Z239" s="42"/>
    </row>
    <row r="240" ht="57.0" customHeight="1">
      <c r="A240" s="57" t="s">
        <v>247</v>
      </c>
      <c r="B240" s="57" t="s">
        <v>93</v>
      </c>
      <c r="C240" s="57" t="s">
        <v>944</v>
      </c>
      <c r="D240" s="57" t="s">
        <v>945</v>
      </c>
      <c r="E240" s="57" t="s">
        <v>946</v>
      </c>
      <c r="F240" s="58">
        <v>900000.0</v>
      </c>
      <c r="G240" s="57" t="s">
        <v>251</v>
      </c>
      <c r="H240" s="59" t="s">
        <v>252</v>
      </c>
      <c r="I240" s="59" t="s">
        <v>472</v>
      </c>
      <c r="J240" s="61"/>
      <c r="K240" s="61"/>
      <c r="L240" s="42"/>
      <c r="M240" s="42"/>
      <c r="N240" s="42"/>
      <c r="O240" s="42"/>
      <c r="P240" s="42"/>
      <c r="Q240" s="42"/>
      <c r="R240" s="42"/>
      <c r="S240" s="42"/>
      <c r="T240" s="42"/>
      <c r="U240" s="42"/>
      <c r="V240" s="42"/>
      <c r="W240" s="42"/>
      <c r="X240" s="42"/>
      <c r="Y240" s="42"/>
      <c r="Z240" s="42"/>
    </row>
    <row r="241" ht="57.0" customHeight="1">
      <c r="A241" s="57" t="s">
        <v>247</v>
      </c>
      <c r="B241" s="57" t="s">
        <v>93</v>
      </c>
      <c r="C241" s="57" t="s">
        <v>947</v>
      </c>
      <c r="D241" s="57" t="s">
        <v>948</v>
      </c>
      <c r="E241" s="57" t="s">
        <v>949</v>
      </c>
      <c r="F241" s="58">
        <v>500000.0</v>
      </c>
      <c r="G241" s="57" t="s">
        <v>251</v>
      </c>
      <c r="H241" s="59" t="s">
        <v>252</v>
      </c>
      <c r="I241" s="59" t="s">
        <v>272</v>
      </c>
      <c r="J241" s="61"/>
      <c r="K241" s="61"/>
      <c r="L241" s="42"/>
      <c r="M241" s="42"/>
      <c r="N241" s="42"/>
      <c r="O241" s="42"/>
      <c r="P241" s="42"/>
      <c r="Q241" s="42"/>
      <c r="R241" s="42"/>
      <c r="S241" s="42"/>
      <c r="T241" s="42"/>
      <c r="U241" s="42"/>
      <c r="V241" s="42"/>
      <c r="W241" s="42"/>
      <c r="X241" s="42"/>
      <c r="Y241" s="42"/>
      <c r="Z241" s="42"/>
    </row>
    <row r="242" ht="30.75" customHeight="1">
      <c r="A242" s="52" t="s">
        <v>247</v>
      </c>
      <c r="B242" s="52" t="s">
        <v>96</v>
      </c>
      <c r="C242" s="52" t="s">
        <v>97</v>
      </c>
      <c r="D242" s="52" t="s">
        <v>98</v>
      </c>
      <c r="E242" s="52"/>
      <c r="F242" s="62"/>
      <c r="G242" s="52"/>
      <c r="H242" s="63"/>
      <c r="I242" s="63"/>
      <c r="J242" s="54"/>
      <c r="K242" s="54"/>
      <c r="L242" s="56"/>
      <c r="M242" s="56"/>
      <c r="N242" s="56"/>
      <c r="O242" s="56"/>
      <c r="P242" s="56"/>
      <c r="Q242" s="56"/>
      <c r="R242" s="56"/>
      <c r="S242" s="56"/>
      <c r="T242" s="56"/>
      <c r="U242" s="56"/>
      <c r="V242" s="56"/>
      <c r="W242" s="56"/>
      <c r="X242" s="56"/>
      <c r="Y242" s="56"/>
      <c r="Z242" s="56"/>
    </row>
    <row r="243" ht="57.0" customHeight="1">
      <c r="A243" s="57" t="s">
        <v>247</v>
      </c>
      <c r="B243" s="57" t="s">
        <v>96</v>
      </c>
      <c r="C243" s="57" t="s">
        <v>950</v>
      </c>
      <c r="D243" s="57" t="s">
        <v>951</v>
      </c>
      <c r="E243" s="57"/>
      <c r="F243" s="58">
        <v>12500.0</v>
      </c>
      <c r="G243" s="57" t="s">
        <v>251</v>
      </c>
      <c r="H243" s="59" t="s">
        <v>952</v>
      </c>
      <c r="I243" s="59" t="s">
        <v>953</v>
      </c>
      <c r="J243" s="61"/>
      <c r="K243" s="61"/>
      <c r="L243" s="42"/>
      <c r="M243" s="42"/>
      <c r="N243" s="42"/>
      <c r="O243" s="42"/>
      <c r="P243" s="42"/>
      <c r="Q243" s="42"/>
      <c r="R243" s="42"/>
      <c r="S243" s="42"/>
      <c r="T243" s="42"/>
      <c r="U243" s="42"/>
      <c r="V243" s="42"/>
      <c r="W243" s="42"/>
      <c r="X243" s="42"/>
      <c r="Y243" s="42"/>
      <c r="Z243" s="42"/>
    </row>
    <row r="244" ht="57.0" customHeight="1">
      <c r="A244" s="57" t="s">
        <v>247</v>
      </c>
      <c r="B244" s="57" t="s">
        <v>96</v>
      </c>
      <c r="C244" s="57" t="s">
        <v>954</v>
      </c>
      <c r="D244" s="57" t="s">
        <v>955</v>
      </c>
      <c r="E244" s="57" t="s">
        <v>956</v>
      </c>
      <c r="F244" s="58">
        <v>250000.0</v>
      </c>
      <c r="G244" s="57" t="s">
        <v>251</v>
      </c>
      <c r="H244" s="59" t="s">
        <v>252</v>
      </c>
      <c r="I244" s="60" t="s">
        <v>253</v>
      </c>
      <c r="J244" s="61"/>
      <c r="K244" s="61"/>
      <c r="L244" s="42"/>
      <c r="M244" s="42"/>
      <c r="N244" s="42"/>
      <c r="O244" s="42"/>
      <c r="P244" s="42"/>
      <c r="Q244" s="42"/>
      <c r="R244" s="42"/>
      <c r="S244" s="42"/>
      <c r="T244" s="42"/>
      <c r="U244" s="42"/>
      <c r="V244" s="42"/>
      <c r="W244" s="42"/>
      <c r="X244" s="42"/>
      <c r="Y244" s="42"/>
      <c r="Z244" s="42"/>
    </row>
    <row r="245" ht="85.5" customHeight="1">
      <c r="A245" s="57" t="s">
        <v>247</v>
      </c>
      <c r="B245" s="57" t="s">
        <v>96</v>
      </c>
      <c r="C245" s="57" t="s">
        <v>957</v>
      </c>
      <c r="D245" s="57" t="s">
        <v>958</v>
      </c>
      <c r="E245" s="57" t="s">
        <v>959</v>
      </c>
      <c r="F245" s="58">
        <v>280000.0</v>
      </c>
      <c r="G245" s="57" t="s">
        <v>251</v>
      </c>
      <c r="H245" s="59" t="s">
        <v>252</v>
      </c>
      <c r="I245" s="60" t="s">
        <v>253</v>
      </c>
      <c r="J245" s="61"/>
      <c r="K245" s="61"/>
      <c r="L245" s="42"/>
      <c r="M245" s="42"/>
      <c r="N245" s="42"/>
      <c r="O245" s="42"/>
      <c r="P245" s="42"/>
      <c r="Q245" s="42"/>
      <c r="R245" s="42"/>
      <c r="S245" s="42"/>
      <c r="T245" s="42"/>
      <c r="U245" s="42"/>
      <c r="V245" s="42"/>
      <c r="W245" s="42"/>
      <c r="X245" s="42"/>
      <c r="Y245" s="42"/>
      <c r="Z245" s="42"/>
    </row>
    <row r="246" ht="57.0" customHeight="1">
      <c r="A246" s="57" t="s">
        <v>247</v>
      </c>
      <c r="B246" s="57" t="s">
        <v>96</v>
      </c>
      <c r="C246" s="57" t="s">
        <v>960</v>
      </c>
      <c r="D246" s="57" t="s">
        <v>961</v>
      </c>
      <c r="E246" s="57" t="s">
        <v>962</v>
      </c>
      <c r="F246" s="58">
        <v>700000.0</v>
      </c>
      <c r="G246" s="57" t="s">
        <v>251</v>
      </c>
      <c r="H246" s="59" t="s">
        <v>252</v>
      </c>
      <c r="I246" s="60" t="s">
        <v>253</v>
      </c>
      <c r="J246" s="61"/>
      <c r="K246" s="61"/>
      <c r="L246" s="42"/>
      <c r="M246" s="42"/>
      <c r="N246" s="42"/>
      <c r="O246" s="42"/>
      <c r="P246" s="42"/>
      <c r="Q246" s="42"/>
      <c r="R246" s="42"/>
      <c r="S246" s="42"/>
      <c r="T246" s="42"/>
      <c r="U246" s="42"/>
      <c r="V246" s="42"/>
      <c r="W246" s="42"/>
      <c r="X246" s="42"/>
      <c r="Y246" s="42"/>
      <c r="Z246" s="42"/>
    </row>
    <row r="247" ht="57.0" customHeight="1">
      <c r="A247" s="57" t="s">
        <v>247</v>
      </c>
      <c r="B247" s="57" t="s">
        <v>96</v>
      </c>
      <c r="C247" s="57" t="s">
        <v>963</v>
      </c>
      <c r="D247" s="57" t="s">
        <v>964</v>
      </c>
      <c r="E247" s="57" t="s">
        <v>965</v>
      </c>
      <c r="F247" s="58">
        <v>1400000.0</v>
      </c>
      <c r="G247" s="57" t="s">
        <v>251</v>
      </c>
      <c r="H247" s="59" t="s">
        <v>252</v>
      </c>
      <c r="I247" s="60" t="s">
        <v>253</v>
      </c>
      <c r="J247" s="61"/>
      <c r="K247" s="61"/>
      <c r="L247" s="42"/>
      <c r="M247" s="42"/>
      <c r="N247" s="42"/>
      <c r="O247" s="42"/>
      <c r="P247" s="42"/>
      <c r="Q247" s="42"/>
      <c r="R247" s="42"/>
      <c r="S247" s="42"/>
      <c r="T247" s="42"/>
      <c r="U247" s="42"/>
      <c r="V247" s="42"/>
      <c r="W247" s="42"/>
      <c r="X247" s="42"/>
      <c r="Y247" s="42"/>
      <c r="Z247" s="42"/>
    </row>
    <row r="248" ht="85.5" customHeight="1">
      <c r="A248" s="57" t="s">
        <v>247</v>
      </c>
      <c r="B248" s="57" t="s">
        <v>96</v>
      </c>
      <c r="C248" s="57" t="s">
        <v>966</v>
      </c>
      <c r="D248" s="57" t="s">
        <v>967</v>
      </c>
      <c r="E248" s="57" t="s">
        <v>968</v>
      </c>
      <c r="F248" s="58">
        <v>1200000.0</v>
      </c>
      <c r="G248" s="57" t="s">
        <v>251</v>
      </c>
      <c r="H248" s="59" t="s">
        <v>252</v>
      </c>
      <c r="I248" s="60" t="s">
        <v>253</v>
      </c>
      <c r="J248" s="61"/>
      <c r="K248" s="61"/>
      <c r="L248" s="42"/>
      <c r="M248" s="42"/>
      <c r="N248" s="42"/>
      <c r="O248" s="42"/>
      <c r="P248" s="42"/>
      <c r="Q248" s="42"/>
      <c r="R248" s="42"/>
      <c r="S248" s="42"/>
      <c r="T248" s="42"/>
      <c r="U248" s="42"/>
      <c r="V248" s="42"/>
      <c r="W248" s="42"/>
      <c r="X248" s="42"/>
      <c r="Y248" s="42"/>
      <c r="Z248" s="42"/>
    </row>
    <row r="249" ht="85.5" customHeight="1">
      <c r="A249" s="57" t="s">
        <v>247</v>
      </c>
      <c r="B249" s="57" t="s">
        <v>96</v>
      </c>
      <c r="C249" s="57" t="s">
        <v>969</v>
      </c>
      <c r="D249" s="57" t="s">
        <v>970</v>
      </c>
      <c r="E249" s="57" t="s">
        <v>971</v>
      </c>
      <c r="F249" s="58">
        <v>450000.0</v>
      </c>
      <c r="G249" s="57" t="s">
        <v>251</v>
      </c>
      <c r="H249" s="59" t="s">
        <v>252</v>
      </c>
      <c r="I249" s="60" t="s">
        <v>253</v>
      </c>
      <c r="J249" s="61"/>
      <c r="K249" s="61"/>
      <c r="L249" s="42"/>
      <c r="M249" s="42"/>
      <c r="N249" s="42"/>
      <c r="O249" s="42"/>
      <c r="P249" s="42"/>
      <c r="Q249" s="42"/>
      <c r="R249" s="42"/>
      <c r="S249" s="42"/>
      <c r="T249" s="42"/>
      <c r="U249" s="42"/>
      <c r="V249" s="42"/>
      <c r="W249" s="42"/>
      <c r="X249" s="42"/>
      <c r="Y249" s="42"/>
      <c r="Z249" s="42"/>
    </row>
    <row r="250" ht="85.5" customHeight="1">
      <c r="A250" s="57" t="s">
        <v>247</v>
      </c>
      <c r="B250" s="57" t="s">
        <v>96</v>
      </c>
      <c r="C250" s="57" t="s">
        <v>972</v>
      </c>
      <c r="D250" s="57" t="s">
        <v>973</v>
      </c>
      <c r="E250" s="57" t="s">
        <v>974</v>
      </c>
      <c r="F250" s="58">
        <v>180000.0</v>
      </c>
      <c r="G250" s="57" t="s">
        <v>512</v>
      </c>
      <c r="H250" s="59" t="s">
        <v>252</v>
      </c>
      <c r="I250" s="60" t="s">
        <v>253</v>
      </c>
      <c r="J250" s="61"/>
      <c r="K250" s="61"/>
      <c r="L250" s="42"/>
      <c r="M250" s="42"/>
      <c r="N250" s="42"/>
      <c r="O250" s="42"/>
      <c r="P250" s="42"/>
      <c r="Q250" s="42"/>
      <c r="R250" s="42"/>
      <c r="S250" s="42"/>
      <c r="T250" s="42"/>
      <c r="U250" s="42"/>
      <c r="V250" s="42"/>
      <c r="W250" s="42"/>
      <c r="X250" s="42"/>
      <c r="Y250" s="42"/>
      <c r="Z250" s="42"/>
    </row>
    <row r="251" ht="57.0" customHeight="1">
      <c r="A251" s="57" t="s">
        <v>247</v>
      </c>
      <c r="B251" s="57" t="s">
        <v>96</v>
      </c>
      <c r="C251" s="57" t="s">
        <v>975</v>
      </c>
      <c r="D251" s="57" t="s">
        <v>976</v>
      </c>
      <c r="E251" s="57" t="s">
        <v>977</v>
      </c>
      <c r="F251" s="58">
        <v>880000.0</v>
      </c>
      <c r="G251" s="57" t="s">
        <v>251</v>
      </c>
      <c r="H251" s="59" t="s">
        <v>252</v>
      </c>
      <c r="I251" s="60" t="s">
        <v>253</v>
      </c>
      <c r="J251" s="61"/>
      <c r="K251" s="61"/>
      <c r="L251" s="42"/>
      <c r="M251" s="42"/>
      <c r="N251" s="42"/>
      <c r="O251" s="42"/>
      <c r="P251" s="42"/>
      <c r="Q251" s="42"/>
      <c r="R251" s="42"/>
      <c r="S251" s="42"/>
      <c r="T251" s="42"/>
      <c r="U251" s="42"/>
      <c r="V251" s="42"/>
      <c r="W251" s="42"/>
      <c r="X251" s="42"/>
      <c r="Y251" s="42"/>
      <c r="Z251" s="42"/>
    </row>
    <row r="252" ht="57.0" customHeight="1">
      <c r="A252" s="57" t="s">
        <v>247</v>
      </c>
      <c r="B252" s="57" t="s">
        <v>96</v>
      </c>
      <c r="C252" s="57" t="s">
        <v>978</v>
      </c>
      <c r="D252" s="57" t="s">
        <v>979</v>
      </c>
      <c r="E252" s="57" t="s">
        <v>980</v>
      </c>
      <c r="F252" s="58">
        <v>2300000.0</v>
      </c>
      <c r="G252" s="57" t="s">
        <v>251</v>
      </c>
      <c r="H252" s="59" t="s">
        <v>252</v>
      </c>
      <c r="I252" s="60" t="s">
        <v>253</v>
      </c>
      <c r="J252" s="61"/>
      <c r="K252" s="61"/>
      <c r="L252" s="42"/>
      <c r="M252" s="42"/>
      <c r="N252" s="42"/>
      <c r="O252" s="42"/>
      <c r="P252" s="42"/>
      <c r="Q252" s="42"/>
      <c r="R252" s="42"/>
      <c r="S252" s="42"/>
      <c r="T252" s="42"/>
      <c r="U252" s="42"/>
      <c r="V252" s="42"/>
      <c r="W252" s="42"/>
      <c r="X252" s="42"/>
      <c r="Y252" s="42"/>
      <c r="Z252" s="42"/>
    </row>
    <row r="253" ht="57.0" customHeight="1">
      <c r="A253" s="57" t="s">
        <v>247</v>
      </c>
      <c r="B253" s="57" t="s">
        <v>96</v>
      </c>
      <c r="C253" s="57" t="s">
        <v>981</v>
      </c>
      <c r="D253" s="57" t="s">
        <v>982</v>
      </c>
      <c r="E253" s="57" t="s">
        <v>983</v>
      </c>
      <c r="F253" s="58">
        <v>4980000.0</v>
      </c>
      <c r="G253" s="57" t="s">
        <v>251</v>
      </c>
      <c r="H253" s="59" t="s">
        <v>252</v>
      </c>
      <c r="I253" s="60" t="s">
        <v>253</v>
      </c>
      <c r="J253" s="61"/>
      <c r="K253" s="61"/>
      <c r="L253" s="42"/>
      <c r="M253" s="42"/>
      <c r="N253" s="42"/>
      <c r="O253" s="42"/>
      <c r="P253" s="42"/>
      <c r="Q253" s="42"/>
      <c r="R253" s="42"/>
      <c r="S253" s="42"/>
      <c r="T253" s="42"/>
      <c r="U253" s="42"/>
      <c r="V253" s="42"/>
      <c r="W253" s="42"/>
      <c r="X253" s="42"/>
      <c r="Y253" s="42"/>
      <c r="Z253" s="42"/>
    </row>
    <row r="254" ht="57.0" customHeight="1">
      <c r="A254" s="57" t="s">
        <v>247</v>
      </c>
      <c r="B254" s="57" t="s">
        <v>96</v>
      </c>
      <c r="C254" s="57" t="s">
        <v>984</v>
      </c>
      <c r="D254" s="57" t="s">
        <v>985</v>
      </c>
      <c r="E254" s="57" t="s">
        <v>986</v>
      </c>
      <c r="F254" s="58">
        <v>650000.0</v>
      </c>
      <c r="G254" s="57" t="s">
        <v>251</v>
      </c>
      <c r="H254" s="59" t="s">
        <v>252</v>
      </c>
      <c r="I254" s="60" t="s">
        <v>253</v>
      </c>
      <c r="J254" s="61"/>
      <c r="K254" s="61"/>
      <c r="L254" s="42"/>
      <c r="M254" s="42"/>
      <c r="N254" s="42"/>
      <c r="O254" s="42"/>
      <c r="P254" s="42"/>
      <c r="Q254" s="42"/>
      <c r="R254" s="42"/>
      <c r="S254" s="42"/>
      <c r="T254" s="42"/>
      <c r="U254" s="42"/>
      <c r="V254" s="42"/>
      <c r="W254" s="42"/>
      <c r="X254" s="42"/>
      <c r="Y254" s="42"/>
      <c r="Z254" s="42"/>
    </row>
    <row r="255" ht="57.0" customHeight="1">
      <c r="A255" s="57" t="s">
        <v>247</v>
      </c>
      <c r="B255" s="57" t="s">
        <v>96</v>
      </c>
      <c r="C255" s="57" t="s">
        <v>987</v>
      </c>
      <c r="D255" s="57" t="s">
        <v>988</v>
      </c>
      <c r="E255" s="57" t="s">
        <v>989</v>
      </c>
      <c r="F255" s="58">
        <v>60000.0</v>
      </c>
      <c r="G255" s="57" t="s">
        <v>251</v>
      </c>
      <c r="H255" s="59" t="s">
        <v>252</v>
      </c>
      <c r="I255" s="60" t="s">
        <v>253</v>
      </c>
      <c r="J255" s="61"/>
      <c r="K255" s="61"/>
      <c r="L255" s="42"/>
      <c r="M255" s="42"/>
      <c r="N255" s="42"/>
      <c r="O255" s="42"/>
      <c r="P255" s="42"/>
      <c r="Q255" s="42"/>
      <c r="R255" s="42"/>
      <c r="S255" s="42"/>
      <c r="T255" s="42"/>
      <c r="U255" s="42"/>
      <c r="V255" s="42"/>
      <c r="W255" s="42"/>
      <c r="X255" s="42"/>
      <c r="Y255" s="42"/>
      <c r="Z255" s="42"/>
    </row>
    <row r="256" ht="57.0" customHeight="1">
      <c r="A256" s="57" t="s">
        <v>247</v>
      </c>
      <c r="B256" s="57" t="s">
        <v>96</v>
      </c>
      <c r="C256" s="57" t="s">
        <v>990</v>
      </c>
      <c r="D256" s="57" t="s">
        <v>991</v>
      </c>
      <c r="E256" s="57" t="s">
        <v>992</v>
      </c>
      <c r="F256" s="58">
        <v>80000.0</v>
      </c>
      <c r="G256" s="57" t="s">
        <v>251</v>
      </c>
      <c r="H256" s="59" t="s">
        <v>252</v>
      </c>
      <c r="I256" s="60" t="s">
        <v>253</v>
      </c>
      <c r="J256" s="61"/>
      <c r="K256" s="61"/>
      <c r="L256" s="42"/>
      <c r="M256" s="42"/>
      <c r="N256" s="42"/>
      <c r="O256" s="42"/>
      <c r="P256" s="42"/>
      <c r="Q256" s="42"/>
      <c r="R256" s="42"/>
      <c r="S256" s="42"/>
      <c r="T256" s="42"/>
      <c r="U256" s="42"/>
      <c r="V256" s="42"/>
      <c r="W256" s="42"/>
      <c r="X256" s="42"/>
      <c r="Y256" s="42"/>
      <c r="Z256" s="42"/>
    </row>
    <row r="257" ht="57.0" customHeight="1">
      <c r="A257" s="57" t="s">
        <v>247</v>
      </c>
      <c r="B257" s="57" t="s">
        <v>96</v>
      </c>
      <c r="C257" s="57" t="s">
        <v>993</v>
      </c>
      <c r="D257" s="57" t="s">
        <v>994</v>
      </c>
      <c r="E257" s="57" t="s">
        <v>995</v>
      </c>
      <c r="F257" s="58">
        <v>95000.0</v>
      </c>
      <c r="G257" s="57" t="s">
        <v>251</v>
      </c>
      <c r="H257" s="59" t="s">
        <v>252</v>
      </c>
      <c r="I257" s="60" t="s">
        <v>253</v>
      </c>
      <c r="J257" s="61"/>
      <c r="K257" s="61"/>
      <c r="L257" s="42"/>
      <c r="M257" s="42"/>
      <c r="N257" s="42"/>
      <c r="O257" s="42"/>
      <c r="P257" s="42"/>
      <c r="Q257" s="42"/>
      <c r="R257" s="42"/>
      <c r="S257" s="42"/>
      <c r="T257" s="42"/>
      <c r="U257" s="42"/>
      <c r="V257" s="42"/>
      <c r="W257" s="42"/>
      <c r="X257" s="42"/>
      <c r="Y257" s="42"/>
      <c r="Z257" s="42"/>
    </row>
    <row r="258" ht="57.0" customHeight="1">
      <c r="A258" s="57" t="s">
        <v>247</v>
      </c>
      <c r="B258" s="57" t="s">
        <v>96</v>
      </c>
      <c r="C258" s="57" t="s">
        <v>996</v>
      </c>
      <c r="D258" s="57" t="s">
        <v>997</v>
      </c>
      <c r="E258" s="57" t="s">
        <v>998</v>
      </c>
      <c r="F258" s="58">
        <v>28000.0</v>
      </c>
      <c r="G258" s="57" t="s">
        <v>251</v>
      </c>
      <c r="H258" s="59" t="s">
        <v>252</v>
      </c>
      <c r="I258" s="60" t="s">
        <v>253</v>
      </c>
      <c r="J258" s="61"/>
      <c r="K258" s="61"/>
      <c r="L258" s="42"/>
      <c r="M258" s="42"/>
      <c r="N258" s="42"/>
      <c r="O258" s="42"/>
      <c r="P258" s="42"/>
      <c r="Q258" s="42"/>
      <c r="R258" s="42"/>
      <c r="S258" s="42"/>
      <c r="T258" s="42"/>
      <c r="U258" s="42"/>
      <c r="V258" s="42"/>
      <c r="W258" s="42"/>
      <c r="X258" s="42"/>
      <c r="Y258" s="42"/>
      <c r="Z258" s="42"/>
    </row>
    <row r="259" ht="57.0" customHeight="1">
      <c r="A259" s="57" t="s">
        <v>247</v>
      </c>
      <c r="B259" s="57" t="s">
        <v>96</v>
      </c>
      <c r="C259" s="57" t="s">
        <v>999</v>
      </c>
      <c r="D259" s="57" t="s">
        <v>1000</v>
      </c>
      <c r="E259" s="57" t="s">
        <v>1001</v>
      </c>
      <c r="F259" s="58">
        <v>2500000.0</v>
      </c>
      <c r="G259" s="57" t="s">
        <v>251</v>
      </c>
      <c r="H259" s="59" t="s">
        <v>252</v>
      </c>
      <c r="I259" s="60" t="s">
        <v>253</v>
      </c>
      <c r="J259" s="61"/>
      <c r="K259" s="61"/>
      <c r="L259" s="42"/>
      <c r="M259" s="42"/>
      <c r="N259" s="42"/>
      <c r="O259" s="42"/>
      <c r="P259" s="42"/>
      <c r="Q259" s="42"/>
      <c r="R259" s="42"/>
      <c r="S259" s="42"/>
      <c r="T259" s="42"/>
      <c r="U259" s="42"/>
      <c r="V259" s="42"/>
      <c r="W259" s="42"/>
      <c r="X259" s="42"/>
      <c r="Y259" s="42"/>
      <c r="Z259" s="42"/>
    </row>
    <row r="260" ht="57.0" customHeight="1">
      <c r="A260" s="57" t="s">
        <v>247</v>
      </c>
      <c r="B260" s="57" t="s">
        <v>96</v>
      </c>
      <c r="C260" s="57" t="s">
        <v>1002</v>
      </c>
      <c r="D260" s="57" t="s">
        <v>1003</v>
      </c>
      <c r="E260" s="57" t="s">
        <v>1004</v>
      </c>
      <c r="F260" s="58">
        <v>3000000.0</v>
      </c>
      <c r="G260" s="57" t="s">
        <v>251</v>
      </c>
      <c r="H260" s="59" t="s">
        <v>252</v>
      </c>
      <c r="I260" s="60" t="s">
        <v>253</v>
      </c>
      <c r="J260" s="61"/>
      <c r="K260" s="61"/>
      <c r="L260" s="42"/>
      <c r="M260" s="42"/>
      <c r="N260" s="42"/>
      <c r="O260" s="42"/>
      <c r="P260" s="42"/>
      <c r="Q260" s="42"/>
      <c r="R260" s="42"/>
      <c r="S260" s="42"/>
      <c r="T260" s="42"/>
      <c r="U260" s="42"/>
      <c r="V260" s="42"/>
      <c r="W260" s="42"/>
      <c r="X260" s="42"/>
      <c r="Y260" s="42"/>
      <c r="Z260" s="42"/>
    </row>
    <row r="261" ht="57.0" customHeight="1">
      <c r="A261" s="57" t="s">
        <v>247</v>
      </c>
      <c r="B261" s="57" t="s">
        <v>96</v>
      </c>
      <c r="C261" s="57" t="s">
        <v>1005</v>
      </c>
      <c r="D261" s="57" t="s">
        <v>1006</v>
      </c>
      <c r="E261" s="57" t="s">
        <v>1007</v>
      </c>
      <c r="F261" s="58">
        <v>4500000.0</v>
      </c>
      <c r="G261" s="57" t="s">
        <v>251</v>
      </c>
      <c r="H261" s="59" t="s">
        <v>252</v>
      </c>
      <c r="I261" s="60" t="s">
        <v>253</v>
      </c>
      <c r="J261" s="61"/>
      <c r="K261" s="61"/>
      <c r="L261" s="42"/>
      <c r="M261" s="42"/>
      <c r="N261" s="42"/>
      <c r="O261" s="42"/>
      <c r="P261" s="42"/>
      <c r="Q261" s="42"/>
      <c r="R261" s="42"/>
      <c r="S261" s="42"/>
      <c r="T261" s="42"/>
      <c r="U261" s="42"/>
      <c r="V261" s="42"/>
      <c r="W261" s="42"/>
      <c r="X261" s="42"/>
      <c r="Y261" s="42"/>
      <c r="Z261" s="42"/>
    </row>
    <row r="262" ht="85.5" customHeight="1">
      <c r="A262" s="57" t="s">
        <v>247</v>
      </c>
      <c r="B262" s="57" t="s">
        <v>96</v>
      </c>
      <c r="C262" s="57" t="s">
        <v>1008</v>
      </c>
      <c r="D262" s="57" t="s">
        <v>1009</v>
      </c>
      <c r="E262" s="57" t="s">
        <v>1010</v>
      </c>
      <c r="F262" s="58">
        <v>730000.0</v>
      </c>
      <c r="G262" s="57" t="s">
        <v>251</v>
      </c>
      <c r="H262" s="59" t="s">
        <v>252</v>
      </c>
      <c r="I262" s="60" t="s">
        <v>253</v>
      </c>
      <c r="J262" s="61"/>
      <c r="K262" s="61"/>
      <c r="L262" s="42"/>
      <c r="M262" s="42"/>
      <c r="N262" s="42"/>
      <c r="O262" s="42"/>
      <c r="P262" s="42"/>
      <c r="Q262" s="42"/>
      <c r="R262" s="42"/>
      <c r="S262" s="42"/>
      <c r="T262" s="42"/>
      <c r="U262" s="42"/>
      <c r="V262" s="42"/>
      <c r="W262" s="42"/>
      <c r="X262" s="42"/>
      <c r="Y262" s="42"/>
      <c r="Z262" s="42"/>
    </row>
    <row r="263" ht="57.0" customHeight="1">
      <c r="A263" s="57" t="s">
        <v>247</v>
      </c>
      <c r="B263" s="57" t="s">
        <v>96</v>
      </c>
      <c r="C263" s="57" t="s">
        <v>1011</v>
      </c>
      <c r="D263" s="57" t="s">
        <v>1012</v>
      </c>
      <c r="E263" s="57" t="s">
        <v>1013</v>
      </c>
      <c r="F263" s="58">
        <v>1500000.0</v>
      </c>
      <c r="G263" s="57" t="s">
        <v>251</v>
      </c>
      <c r="H263" s="59" t="s">
        <v>252</v>
      </c>
      <c r="I263" s="60" t="s">
        <v>253</v>
      </c>
      <c r="J263" s="61"/>
      <c r="K263" s="61"/>
      <c r="L263" s="42"/>
      <c r="M263" s="42"/>
      <c r="N263" s="42"/>
      <c r="O263" s="42"/>
      <c r="P263" s="42"/>
      <c r="Q263" s="42"/>
      <c r="R263" s="42"/>
      <c r="S263" s="42"/>
      <c r="T263" s="42"/>
      <c r="U263" s="42"/>
      <c r="V263" s="42"/>
      <c r="W263" s="42"/>
      <c r="X263" s="42"/>
      <c r="Y263" s="42"/>
      <c r="Z263" s="42"/>
    </row>
    <row r="264" ht="57.0" customHeight="1">
      <c r="A264" s="57" t="s">
        <v>247</v>
      </c>
      <c r="B264" s="57" t="s">
        <v>96</v>
      </c>
      <c r="C264" s="57" t="s">
        <v>1014</v>
      </c>
      <c r="D264" s="57" t="s">
        <v>1015</v>
      </c>
      <c r="E264" s="57" t="s">
        <v>1016</v>
      </c>
      <c r="F264" s="58">
        <v>430000.0</v>
      </c>
      <c r="G264" s="57" t="s">
        <v>251</v>
      </c>
      <c r="H264" s="59" t="s">
        <v>252</v>
      </c>
      <c r="I264" s="60" t="s">
        <v>253</v>
      </c>
      <c r="J264" s="61"/>
      <c r="K264" s="61"/>
      <c r="L264" s="42"/>
      <c r="M264" s="42"/>
      <c r="N264" s="42"/>
      <c r="O264" s="42"/>
      <c r="P264" s="42"/>
      <c r="Q264" s="42"/>
      <c r="R264" s="42"/>
      <c r="S264" s="42"/>
      <c r="T264" s="42"/>
      <c r="U264" s="42"/>
      <c r="V264" s="42"/>
      <c r="W264" s="42"/>
      <c r="X264" s="42"/>
      <c r="Y264" s="42"/>
      <c r="Z264" s="42"/>
    </row>
    <row r="265" ht="57.0" customHeight="1">
      <c r="A265" s="57" t="s">
        <v>247</v>
      </c>
      <c r="B265" s="57" t="s">
        <v>96</v>
      </c>
      <c r="C265" s="57" t="s">
        <v>1017</v>
      </c>
      <c r="D265" s="57" t="s">
        <v>1018</v>
      </c>
      <c r="E265" s="57" t="s">
        <v>1019</v>
      </c>
      <c r="F265" s="58">
        <v>840000.0</v>
      </c>
      <c r="G265" s="57" t="s">
        <v>251</v>
      </c>
      <c r="H265" s="59" t="s">
        <v>252</v>
      </c>
      <c r="I265" s="60" t="s">
        <v>253</v>
      </c>
      <c r="J265" s="61"/>
      <c r="K265" s="61"/>
      <c r="L265" s="42"/>
      <c r="M265" s="42"/>
      <c r="N265" s="42"/>
      <c r="O265" s="42"/>
      <c r="P265" s="42"/>
      <c r="Q265" s="42"/>
      <c r="R265" s="42"/>
      <c r="S265" s="42"/>
      <c r="T265" s="42"/>
      <c r="U265" s="42"/>
      <c r="V265" s="42"/>
      <c r="W265" s="42"/>
      <c r="X265" s="42"/>
      <c r="Y265" s="42"/>
      <c r="Z265" s="42"/>
    </row>
    <row r="266" ht="57.0" customHeight="1">
      <c r="A266" s="57" t="s">
        <v>247</v>
      </c>
      <c r="B266" s="57" t="s">
        <v>96</v>
      </c>
      <c r="C266" s="57" t="s">
        <v>1020</v>
      </c>
      <c r="D266" s="57" t="s">
        <v>1021</v>
      </c>
      <c r="E266" s="57" t="s">
        <v>1022</v>
      </c>
      <c r="F266" s="58">
        <v>600000.0</v>
      </c>
      <c r="G266" s="57" t="s">
        <v>251</v>
      </c>
      <c r="H266" s="59" t="s">
        <v>252</v>
      </c>
      <c r="I266" s="60" t="s">
        <v>253</v>
      </c>
      <c r="J266" s="61"/>
      <c r="K266" s="61"/>
      <c r="L266" s="42"/>
      <c r="M266" s="42"/>
      <c r="N266" s="42"/>
      <c r="O266" s="42"/>
      <c r="P266" s="42"/>
      <c r="Q266" s="42"/>
      <c r="R266" s="42"/>
      <c r="S266" s="42"/>
      <c r="T266" s="42"/>
      <c r="U266" s="42"/>
      <c r="V266" s="42"/>
      <c r="W266" s="42"/>
      <c r="X266" s="42"/>
      <c r="Y266" s="42"/>
      <c r="Z266" s="42"/>
    </row>
    <row r="267" ht="57.0" customHeight="1">
      <c r="A267" s="57" t="s">
        <v>247</v>
      </c>
      <c r="B267" s="57" t="s">
        <v>96</v>
      </c>
      <c r="C267" s="57" t="s">
        <v>1023</v>
      </c>
      <c r="D267" s="57" t="s">
        <v>1024</v>
      </c>
      <c r="E267" s="57" t="s">
        <v>1025</v>
      </c>
      <c r="F267" s="58">
        <v>1900000.0</v>
      </c>
      <c r="G267" s="57" t="s">
        <v>251</v>
      </c>
      <c r="H267" s="59" t="s">
        <v>252</v>
      </c>
      <c r="I267" s="60" t="s">
        <v>253</v>
      </c>
      <c r="J267" s="61"/>
      <c r="K267" s="61"/>
      <c r="L267" s="42"/>
      <c r="M267" s="42"/>
      <c r="N267" s="42"/>
      <c r="O267" s="42"/>
      <c r="P267" s="42"/>
      <c r="Q267" s="42"/>
      <c r="R267" s="42"/>
      <c r="S267" s="42"/>
      <c r="T267" s="42"/>
      <c r="U267" s="42"/>
      <c r="V267" s="42"/>
      <c r="W267" s="42"/>
      <c r="X267" s="42"/>
      <c r="Y267" s="42"/>
      <c r="Z267" s="42"/>
    </row>
    <row r="268" ht="57.0" customHeight="1">
      <c r="A268" s="57" t="s">
        <v>247</v>
      </c>
      <c r="B268" s="57" t="s">
        <v>96</v>
      </c>
      <c r="C268" s="57" t="s">
        <v>1026</v>
      </c>
      <c r="D268" s="57" t="s">
        <v>1027</v>
      </c>
      <c r="E268" s="57" t="s">
        <v>1028</v>
      </c>
      <c r="F268" s="58">
        <v>2500000.0</v>
      </c>
      <c r="G268" s="57" t="s">
        <v>251</v>
      </c>
      <c r="H268" s="59" t="s">
        <v>252</v>
      </c>
      <c r="I268" s="60" t="s">
        <v>253</v>
      </c>
      <c r="J268" s="61"/>
      <c r="K268" s="61"/>
      <c r="L268" s="42"/>
      <c r="M268" s="42"/>
      <c r="N268" s="42"/>
      <c r="O268" s="42"/>
      <c r="P268" s="42"/>
      <c r="Q268" s="42"/>
      <c r="R268" s="42"/>
      <c r="S268" s="42"/>
      <c r="T268" s="42"/>
      <c r="U268" s="42"/>
      <c r="V268" s="42"/>
      <c r="W268" s="42"/>
      <c r="X268" s="42"/>
      <c r="Y268" s="42"/>
      <c r="Z268" s="42"/>
    </row>
    <row r="269" ht="57.0" customHeight="1">
      <c r="A269" s="57" t="s">
        <v>247</v>
      </c>
      <c r="B269" s="57" t="s">
        <v>96</v>
      </c>
      <c r="C269" s="57" t="s">
        <v>1029</v>
      </c>
      <c r="D269" s="57" t="s">
        <v>1030</v>
      </c>
      <c r="E269" s="57" t="s">
        <v>1031</v>
      </c>
      <c r="F269" s="58">
        <v>5000000.0</v>
      </c>
      <c r="G269" s="57" t="s">
        <v>251</v>
      </c>
      <c r="H269" s="59" t="s">
        <v>252</v>
      </c>
      <c r="I269" s="60" t="s">
        <v>253</v>
      </c>
      <c r="J269" s="61"/>
      <c r="K269" s="61"/>
      <c r="L269" s="42"/>
      <c r="M269" s="42"/>
      <c r="N269" s="42"/>
      <c r="O269" s="42"/>
      <c r="P269" s="42"/>
      <c r="Q269" s="42"/>
      <c r="R269" s="42"/>
      <c r="S269" s="42"/>
      <c r="T269" s="42"/>
      <c r="U269" s="42"/>
      <c r="V269" s="42"/>
      <c r="W269" s="42"/>
      <c r="X269" s="42"/>
      <c r="Y269" s="42"/>
      <c r="Z269" s="42"/>
    </row>
    <row r="270" ht="57.0" customHeight="1">
      <c r="A270" s="57" t="s">
        <v>247</v>
      </c>
      <c r="B270" s="57" t="s">
        <v>96</v>
      </c>
      <c r="C270" s="57" t="s">
        <v>1032</v>
      </c>
      <c r="D270" s="57" t="s">
        <v>1033</v>
      </c>
      <c r="E270" s="57" t="s">
        <v>1034</v>
      </c>
      <c r="F270" s="58">
        <v>4800000.0</v>
      </c>
      <c r="G270" s="57" t="s">
        <v>251</v>
      </c>
      <c r="H270" s="59" t="s">
        <v>252</v>
      </c>
      <c r="I270" s="60" t="s">
        <v>253</v>
      </c>
      <c r="J270" s="61"/>
      <c r="K270" s="61"/>
      <c r="L270" s="42"/>
      <c r="M270" s="42"/>
      <c r="N270" s="42"/>
      <c r="O270" s="42"/>
      <c r="P270" s="42"/>
      <c r="Q270" s="42"/>
      <c r="R270" s="42"/>
      <c r="S270" s="42"/>
      <c r="T270" s="42"/>
      <c r="U270" s="42"/>
      <c r="V270" s="42"/>
      <c r="W270" s="42"/>
      <c r="X270" s="42"/>
      <c r="Y270" s="42"/>
      <c r="Z270" s="42"/>
    </row>
    <row r="271" ht="57.0" customHeight="1">
      <c r="A271" s="57" t="s">
        <v>247</v>
      </c>
      <c r="B271" s="57" t="s">
        <v>96</v>
      </c>
      <c r="C271" s="57" t="s">
        <v>1035</v>
      </c>
      <c r="D271" s="57" t="s">
        <v>1036</v>
      </c>
      <c r="E271" s="57" t="s">
        <v>1037</v>
      </c>
      <c r="F271" s="58">
        <v>5800000.0</v>
      </c>
      <c r="G271" s="57" t="s">
        <v>251</v>
      </c>
      <c r="H271" s="59" t="s">
        <v>252</v>
      </c>
      <c r="I271" s="60" t="s">
        <v>253</v>
      </c>
      <c r="J271" s="61"/>
      <c r="K271" s="61"/>
      <c r="L271" s="42"/>
      <c r="M271" s="42"/>
      <c r="N271" s="42"/>
      <c r="O271" s="42"/>
      <c r="P271" s="42"/>
      <c r="Q271" s="42"/>
      <c r="R271" s="42"/>
      <c r="S271" s="42"/>
      <c r="T271" s="42"/>
      <c r="U271" s="42"/>
      <c r="V271" s="42"/>
      <c r="W271" s="42"/>
      <c r="X271" s="42"/>
      <c r="Y271" s="42"/>
      <c r="Z271" s="42"/>
    </row>
    <row r="272" ht="57.0" customHeight="1">
      <c r="A272" s="57" t="s">
        <v>247</v>
      </c>
      <c r="B272" s="57" t="s">
        <v>96</v>
      </c>
      <c r="C272" s="57" t="s">
        <v>1038</v>
      </c>
      <c r="D272" s="57" t="s">
        <v>1039</v>
      </c>
      <c r="E272" s="57" t="s">
        <v>1040</v>
      </c>
      <c r="F272" s="58">
        <v>1500000.0</v>
      </c>
      <c r="G272" s="57" t="s">
        <v>251</v>
      </c>
      <c r="H272" s="59" t="s">
        <v>252</v>
      </c>
      <c r="I272" s="60" t="s">
        <v>253</v>
      </c>
      <c r="J272" s="61"/>
      <c r="K272" s="61"/>
      <c r="L272" s="42"/>
      <c r="M272" s="42"/>
      <c r="N272" s="42"/>
      <c r="O272" s="42"/>
      <c r="P272" s="42"/>
      <c r="Q272" s="42"/>
      <c r="R272" s="42"/>
      <c r="S272" s="42"/>
      <c r="T272" s="42"/>
      <c r="U272" s="42"/>
      <c r="V272" s="42"/>
      <c r="W272" s="42"/>
      <c r="X272" s="42"/>
      <c r="Y272" s="42"/>
      <c r="Z272" s="42"/>
    </row>
    <row r="273" ht="57.0" customHeight="1">
      <c r="A273" s="57" t="s">
        <v>247</v>
      </c>
      <c r="B273" s="57" t="s">
        <v>96</v>
      </c>
      <c r="C273" s="57" t="s">
        <v>1041</v>
      </c>
      <c r="D273" s="57" t="s">
        <v>1042</v>
      </c>
      <c r="E273" s="57" t="s">
        <v>1043</v>
      </c>
      <c r="F273" s="58">
        <v>650000.0</v>
      </c>
      <c r="G273" s="57" t="s">
        <v>251</v>
      </c>
      <c r="H273" s="59" t="s">
        <v>252</v>
      </c>
      <c r="I273" s="60" t="s">
        <v>253</v>
      </c>
      <c r="J273" s="61"/>
      <c r="K273" s="61"/>
      <c r="L273" s="42"/>
      <c r="M273" s="42"/>
      <c r="N273" s="42"/>
      <c r="O273" s="42"/>
      <c r="P273" s="42"/>
      <c r="Q273" s="42"/>
      <c r="R273" s="42"/>
      <c r="S273" s="42"/>
      <c r="T273" s="42"/>
      <c r="U273" s="42"/>
      <c r="V273" s="42"/>
      <c r="W273" s="42"/>
      <c r="X273" s="42"/>
      <c r="Y273" s="42"/>
      <c r="Z273" s="42"/>
    </row>
    <row r="274" ht="57.0" customHeight="1">
      <c r="A274" s="57" t="s">
        <v>247</v>
      </c>
      <c r="B274" s="57" t="s">
        <v>96</v>
      </c>
      <c r="C274" s="57" t="s">
        <v>1044</v>
      </c>
      <c r="D274" s="57" t="s">
        <v>1045</v>
      </c>
      <c r="E274" s="57" t="s">
        <v>1046</v>
      </c>
      <c r="F274" s="58">
        <v>1340000.0</v>
      </c>
      <c r="G274" s="57" t="s">
        <v>251</v>
      </c>
      <c r="H274" s="59" t="s">
        <v>252</v>
      </c>
      <c r="I274" s="60" t="s">
        <v>253</v>
      </c>
      <c r="J274" s="61"/>
      <c r="K274" s="61"/>
      <c r="L274" s="42"/>
      <c r="M274" s="42"/>
      <c r="N274" s="42"/>
      <c r="O274" s="42"/>
      <c r="P274" s="42"/>
      <c r="Q274" s="42"/>
      <c r="R274" s="42"/>
      <c r="S274" s="42"/>
      <c r="T274" s="42"/>
      <c r="U274" s="42"/>
      <c r="V274" s="42"/>
      <c r="W274" s="42"/>
      <c r="X274" s="42"/>
      <c r="Y274" s="42"/>
      <c r="Z274" s="42"/>
    </row>
    <row r="275" ht="57.0" customHeight="1">
      <c r="A275" s="57" t="s">
        <v>247</v>
      </c>
      <c r="B275" s="57" t="s">
        <v>96</v>
      </c>
      <c r="C275" s="57" t="s">
        <v>1047</v>
      </c>
      <c r="D275" s="57" t="s">
        <v>1048</v>
      </c>
      <c r="E275" s="57" t="s">
        <v>1049</v>
      </c>
      <c r="F275" s="58">
        <v>1580000.0</v>
      </c>
      <c r="G275" s="57" t="s">
        <v>251</v>
      </c>
      <c r="H275" s="59" t="s">
        <v>252</v>
      </c>
      <c r="I275" s="60" t="s">
        <v>253</v>
      </c>
      <c r="J275" s="61"/>
      <c r="K275" s="61"/>
      <c r="L275" s="42"/>
      <c r="M275" s="42"/>
      <c r="N275" s="42"/>
      <c r="O275" s="42"/>
      <c r="P275" s="42"/>
      <c r="Q275" s="42"/>
      <c r="R275" s="42"/>
      <c r="S275" s="42"/>
      <c r="T275" s="42"/>
      <c r="U275" s="42"/>
      <c r="V275" s="42"/>
      <c r="W275" s="42"/>
      <c r="X275" s="42"/>
      <c r="Y275" s="42"/>
      <c r="Z275" s="42"/>
    </row>
    <row r="276" ht="57.0" customHeight="1">
      <c r="A276" s="57" t="s">
        <v>247</v>
      </c>
      <c r="B276" s="57" t="s">
        <v>96</v>
      </c>
      <c r="C276" s="57" t="s">
        <v>1050</v>
      </c>
      <c r="D276" s="57" t="s">
        <v>1051</v>
      </c>
      <c r="E276" s="57" t="s">
        <v>1052</v>
      </c>
      <c r="F276" s="58">
        <v>2800000.0</v>
      </c>
      <c r="G276" s="57" t="s">
        <v>251</v>
      </c>
      <c r="H276" s="59" t="s">
        <v>252</v>
      </c>
      <c r="I276" s="60" t="s">
        <v>253</v>
      </c>
      <c r="J276" s="61"/>
      <c r="K276" s="61"/>
      <c r="L276" s="42"/>
      <c r="M276" s="42"/>
      <c r="N276" s="42"/>
      <c r="O276" s="42"/>
      <c r="P276" s="42"/>
      <c r="Q276" s="42"/>
      <c r="R276" s="42"/>
      <c r="S276" s="42"/>
      <c r="T276" s="42"/>
      <c r="U276" s="42"/>
      <c r="V276" s="42"/>
      <c r="W276" s="42"/>
      <c r="X276" s="42"/>
      <c r="Y276" s="42"/>
      <c r="Z276" s="42"/>
    </row>
    <row r="277" ht="57.0" customHeight="1">
      <c r="A277" s="57" t="s">
        <v>247</v>
      </c>
      <c r="B277" s="57" t="s">
        <v>96</v>
      </c>
      <c r="C277" s="57" t="s">
        <v>1053</v>
      </c>
      <c r="D277" s="57" t="s">
        <v>1054</v>
      </c>
      <c r="E277" s="57" t="s">
        <v>1055</v>
      </c>
      <c r="F277" s="58">
        <v>3500000.0</v>
      </c>
      <c r="G277" s="57" t="s">
        <v>251</v>
      </c>
      <c r="H277" s="59" t="s">
        <v>252</v>
      </c>
      <c r="I277" s="60" t="s">
        <v>253</v>
      </c>
      <c r="J277" s="61"/>
      <c r="K277" s="61"/>
      <c r="L277" s="42"/>
      <c r="M277" s="42"/>
      <c r="N277" s="42"/>
      <c r="O277" s="42"/>
      <c r="P277" s="42"/>
      <c r="Q277" s="42"/>
      <c r="R277" s="42"/>
      <c r="S277" s="42"/>
      <c r="T277" s="42"/>
      <c r="U277" s="42"/>
      <c r="V277" s="42"/>
      <c r="W277" s="42"/>
      <c r="X277" s="42"/>
      <c r="Y277" s="42"/>
      <c r="Z277" s="42"/>
    </row>
    <row r="278" ht="57.0" customHeight="1">
      <c r="A278" s="57" t="s">
        <v>247</v>
      </c>
      <c r="B278" s="57" t="s">
        <v>96</v>
      </c>
      <c r="C278" s="57" t="s">
        <v>1056</v>
      </c>
      <c r="D278" s="57" t="s">
        <v>1057</v>
      </c>
      <c r="E278" s="57" t="s">
        <v>1058</v>
      </c>
      <c r="F278" s="58">
        <v>4900000.0</v>
      </c>
      <c r="G278" s="57" t="s">
        <v>251</v>
      </c>
      <c r="H278" s="59" t="s">
        <v>252</v>
      </c>
      <c r="I278" s="60" t="s">
        <v>253</v>
      </c>
      <c r="J278" s="61"/>
      <c r="K278" s="61"/>
      <c r="L278" s="42"/>
      <c r="M278" s="42"/>
      <c r="N278" s="42"/>
      <c r="O278" s="42"/>
      <c r="P278" s="42"/>
      <c r="Q278" s="42"/>
      <c r="R278" s="42"/>
      <c r="S278" s="42"/>
      <c r="T278" s="42"/>
      <c r="U278" s="42"/>
      <c r="V278" s="42"/>
      <c r="W278" s="42"/>
      <c r="X278" s="42"/>
      <c r="Y278" s="42"/>
      <c r="Z278" s="42"/>
    </row>
    <row r="279" ht="57.0" customHeight="1">
      <c r="A279" s="57" t="s">
        <v>247</v>
      </c>
      <c r="B279" s="57" t="s">
        <v>96</v>
      </c>
      <c r="C279" s="57" t="s">
        <v>1059</v>
      </c>
      <c r="D279" s="57" t="s">
        <v>1060</v>
      </c>
      <c r="E279" s="57" t="s">
        <v>1061</v>
      </c>
      <c r="F279" s="58">
        <v>107000.0</v>
      </c>
      <c r="G279" s="57" t="s">
        <v>251</v>
      </c>
      <c r="H279" s="59" t="s">
        <v>252</v>
      </c>
      <c r="I279" s="60" t="s">
        <v>253</v>
      </c>
      <c r="J279" s="61"/>
      <c r="K279" s="61"/>
      <c r="L279" s="42"/>
      <c r="M279" s="42"/>
      <c r="N279" s="42"/>
      <c r="O279" s="42"/>
      <c r="P279" s="42"/>
      <c r="Q279" s="42"/>
      <c r="R279" s="42"/>
      <c r="S279" s="42"/>
      <c r="T279" s="42"/>
      <c r="U279" s="42"/>
      <c r="V279" s="42"/>
      <c r="W279" s="42"/>
      <c r="X279" s="42"/>
      <c r="Y279" s="42"/>
      <c r="Z279" s="42"/>
    </row>
    <row r="280" ht="57.0" customHeight="1">
      <c r="A280" s="57" t="s">
        <v>247</v>
      </c>
      <c r="B280" s="57" t="s">
        <v>96</v>
      </c>
      <c r="C280" s="57" t="s">
        <v>1062</v>
      </c>
      <c r="D280" s="57" t="s">
        <v>1063</v>
      </c>
      <c r="E280" s="57" t="s">
        <v>1064</v>
      </c>
      <c r="F280" s="58">
        <v>290000.0</v>
      </c>
      <c r="G280" s="57" t="s">
        <v>251</v>
      </c>
      <c r="H280" s="59" t="s">
        <v>252</v>
      </c>
      <c r="I280" s="60" t="s">
        <v>253</v>
      </c>
      <c r="J280" s="61"/>
      <c r="K280" s="61"/>
      <c r="L280" s="42"/>
      <c r="M280" s="42"/>
      <c r="N280" s="42"/>
      <c r="O280" s="42"/>
      <c r="P280" s="42"/>
      <c r="Q280" s="42"/>
      <c r="R280" s="42"/>
      <c r="S280" s="42"/>
      <c r="T280" s="42"/>
      <c r="U280" s="42"/>
      <c r="V280" s="42"/>
      <c r="W280" s="42"/>
      <c r="X280" s="42"/>
      <c r="Y280" s="42"/>
      <c r="Z280" s="42"/>
    </row>
    <row r="281" ht="57.0" customHeight="1">
      <c r="A281" s="57" t="s">
        <v>247</v>
      </c>
      <c r="B281" s="57" t="s">
        <v>96</v>
      </c>
      <c r="C281" s="57" t="s">
        <v>1065</v>
      </c>
      <c r="D281" s="57" t="s">
        <v>1066</v>
      </c>
      <c r="E281" s="57" t="s">
        <v>1067</v>
      </c>
      <c r="F281" s="58">
        <v>375000.0</v>
      </c>
      <c r="G281" s="57" t="s">
        <v>251</v>
      </c>
      <c r="H281" s="59" t="s">
        <v>252</v>
      </c>
      <c r="I281" s="60" t="s">
        <v>253</v>
      </c>
      <c r="J281" s="61"/>
      <c r="K281" s="61"/>
      <c r="L281" s="42"/>
      <c r="M281" s="42"/>
      <c r="N281" s="42"/>
      <c r="O281" s="42"/>
      <c r="P281" s="42"/>
      <c r="Q281" s="42"/>
      <c r="R281" s="42"/>
      <c r="S281" s="42"/>
      <c r="T281" s="42"/>
      <c r="U281" s="42"/>
      <c r="V281" s="42"/>
      <c r="W281" s="42"/>
      <c r="X281" s="42"/>
      <c r="Y281" s="42"/>
      <c r="Z281" s="42"/>
    </row>
    <row r="282" ht="57.0" customHeight="1">
      <c r="A282" s="57" t="s">
        <v>247</v>
      </c>
      <c r="B282" s="57" t="s">
        <v>96</v>
      </c>
      <c r="C282" s="57" t="s">
        <v>1068</v>
      </c>
      <c r="D282" s="57" t="s">
        <v>1069</v>
      </c>
      <c r="E282" s="57" t="s">
        <v>1070</v>
      </c>
      <c r="F282" s="58">
        <v>520000.0</v>
      </c>
      <c r="G282" s="57" t="s">
        <v>251</v>
      </c>
      <c r="H282" s="59" t="s">
        <v>252</v>
      </c>
      <c r="I282" s="60" t="s">
        <v>253</v>
      </c>
      <c r="J282" s="61"/>
      <c r="K282" s="61"/>
      <c r="L282" s="42"/>
      <c r="M282" s="42"/>
      <c r="N282" s="42"/>
      <c r="O282" s="42"/>
      <c r="P282" s="42"/>
      <c r="Q282" s="42"/>
      <c r="R282" s="42"/>
      <c r="S282" s="42"/>
      <c r="T282" s="42"/>
      <c r="U282" s="42"/>
      <c r="V282" s="42"/>
      <c r="W282" s="42"/>
      <c r="X282" s="42"/>
      <c r="Y282" s="42"/>
      <c r="Z282" s="42"/>
    </row>
    <row r="283" ht="57.0" customHeight="1">
      <c r="A283" s="57" t="s">
        <v>247</v>
      </c>
      <c r="B283" s="57" t="s">
        <v>96</v>
      </c>
      <c r="C283" s="57" t="s">
        <v>1071</v>
      </c>
      <c r="D283" s="57" t="s">
        <v>1072</v>
      </c>
      <c r="E283" s="57" t="s">
        <v>1073</v>
      </c>
      <c r="F283" s="58">
        <v>720000.0</v>
      </c>
      <c r="G283" s="57" t="s">
        <v>251</v>
      </c>
      <c r="H283" s="59" t="s">
        <v>252</v>
      </c>
      <c r="I283" s="60" t="s">
        <v>253</v>
      </c>
      <c r="J283" s="61"/>
      <c r="K283" s="61"/>
      <c r="L283" s="42"/>
      <c r="M283" s="42"/>
      <c r="N283" s="42"/>
      <c r="O283" s="42"/>
      <c r="P283" s="42"/>
      <c r="Q283" s="42"/>
      <c r="R283" s="42"/>
      <c r="S283" s="42"/>
      <c r="T283" s="42"/>
      <c r="U283" s="42"/>
      <c r="V283" s="42"/>
      <c r="W283" s="42"/>
      <c r="X283" s="42"/>
      <c r="Y283" s="42"/>
      <c r="Z283" s="42"/>
    </row>
    <row r="284" ht="57.0" customHeight="1">
      <c r="A284" s="57" t="s">
        <v>247</v>
      </c>
      <c r="B284" s="57" t="s">
        <v>96</v>
      </c>
      <c r="C284" s="57" t="s">
        <v>1074</v>
      </c>
      <c r="D284" s="57" t="s">
        <v>1075</v>
      </c>
      <c r="E284" s="57" t="s">
        <v>1076</v>
      </c>
      <c r="F284" s="58">
        <v>1070000.0</v>
      </c>
      <c r="G284" s="57" t="s">
        <v>251</v>
      </c>
      <c r="H284" s="59" t="s">
        <v>252</v>
      </c>
      <c r="I284" s="60" t="s">
        <v>253</v>
      </c>
      <c r="J284" s="61"/>
      <c r="K284" s="61"/>
      <c r="L284" s="42"/>
      <c r="M284" s="42"/>
      <c r="N284" s="42"/>
      <c r="O284" s="42"/>
      <c r="P284" s="42"/>
      <c r="Q284" s="42"/>
      <c r="R284" s="42"/>
      <c r="S284" s="42"/>
      <c r="T284" s="42"/>
      <c r="U284" s="42"/>
      <c r="V284" s="42"/>
      <c r="W284" s="42"/>
      <c r="X284" s="42"/>
      <c r="Y284" s="42"/>
      <c r="Z284" s="42"/>
    </row>
    <row r="285" ht="57.0" customHeight="1">
      <c r="A285" s="57" t="s">
        <v>247</v>
      </c>
      <c r="B285" s="57" t="s">
        <v>96</v>
      </c>
      <c r="C285" s="57" t="s">
        <v>1077</v>
      </c>
      <c r="D285" s="57" t="s">
        <v>1078</v>
      </c>
      <c r="E285" s="57" t="s">
        <v>1079</v>
      </c>
      <c r="F285" s="58">
        <v>1650000.0</v>
      </c>
      <c r="G285" s="57" t="s">
        <v>251</v>
      </c>
      <c r="H285" s="59" t="s">
        <v>252</v>
      </c>
      <c r="I285" s="60" t="s">
        <v>253</v>
      </c>
      <c r="J285" s="61"/>
      <c r="K285" s="61"/>
      <c r="L285" s="42"/>
      <c r="M285" s="42"/>
      <c r="N285" s="42"/>
      <c r="O285" s="42"/>
      <c r="P285" s="42"/>
      <c r="Q285" s="42"/>
      <c r="R285" s="42"/>
      <c r="S285" s="42"/>
      <c r="T285" s="42"/>
      <c r="U285" s="42"/>
      <c r="V285" s="42"/>
      <c r="W285" s="42"/>
      <c r="X285" s="42"/>
      <c r="Y285" s="42"/>
      <c r="Z285" s="42"/>
    </row>
    <row r="286" ht="85.5" customHeight="1">
      <c r="A286" s="57" t="s">
        <v>247</v>
      </c>
      <c r="B286" s="57" t="s">
        <v>96</v>
      </c>
      <c r="C286" s="57" t="s">
        <v>1080</v>
      </c>
      <c r="D286" s="57" t="s">
        <v>1081</v>
      </c>
      <c r="E286" s="57" t="s">
        <v>1082</v>
      </c>
      <c r="F286" s="58">
        <v>790000.0</v>
      </c>
      <c r="G286" s="57" t="s">
        <v>251</v>
      </c>
      <c r="H286" s="59" t="s">
        <v>252</v>
      </c>
      <c r="I286" s="60" t="s">
        <v>253</v>
      </c>
      <c r="J286" s="61"/>
      <c r="K286" s="61"/>
      <c r="L286" s="42"/>
      <c r="M286" s="42"/>
      <c r="N286" s="42"/>
      <c r="O286" s="42"/>
      <c r="P286" s="42"/>
      <c r="Q286" s="42"/>
      <c r="R286" s="42"/>
      <c r="S286" s="42"/>
      <c r="T286" s="42"/>
      <c r="U286" s="42"/>
      <c r="V286" s="42"/>
      <c r="W286" s="42"/>
      <c r="X286" s="42"/>
      <c r="Y286" s="42"/>
      <c r="Z286" s="42"/>
    </row>
    <row r="287" ht="85.5" customHeight="1">
      <c r="A287" s="57" t="s">
        <v>247</v>
      </c>
      <c r="B287" s="57" t="s">
        <v>96</v>
      </c>
      <c r="C287" s="57" t="s">
        <v>1083</v>
      </c>
      <c r="D287" s="57" t="s">
        <v>1084</v>
      </c>
      <c r="E287" s="57" t="s">
        <v>1085</v>
      </c>
      <c r="F287" s="58">
        <v>2270000.0</v>
      </c>
      <c r="G287" s="57" t="s">
        <v>251</v>
      </c>
      <c r="H287" s="59" t="s">
        <v>252</v>
      </c>
      <c r="I287" s="60" t="s">
        <v>253</v>
      </c>
      <c r="J287" s="61"/>
      <c r="K287" s="61"/>
      <c r="L287" s="42"/>
      <c r="M287" s="42"/>
      <c r="N287" s="42"/>
      <c r="O287" s="42"/>
      <c r="P287" s="42"/>
      <c r="Q287" s="42"/>
      <c r="R287" s="42"/>
      <c r="S287" s="42"/>
      <c r="T287" s="42"/>
      <c r="U287" s="42"/>
      <c r="V287" s="42"/>
      <c r="W287" s="42"/>
      <c r="X287" s="42"/>
      <c r="Y287" s="42"/>
      <c r="Z287" s="42"/>
    </row>
    <row r="288" ht="85.5" customHeight="1">
      <c r="A288" s="57" t="s">
        <v>247</v>
      </c>
      <c r="B288" s="57" t="s">
        <v>96</v>
      </c>
      <c r="C288" s="57" t="s">
        <v>1086</v>
      </c>
      <c r="D288" s="57" t="s">
        <v>1087</v>
      </c>
      <c r="E288" s="57" t="s">
        <v>1088</v>
      </c>
      <c r="F288" s="58">
        <v>3000000.0</v>
      </c>
      <c r="G288" s="57" t="s">
        <v>251</v>
      </c>
      <c r="H288" s="59" t="s">
        <v>252</v>
      </c>
      <c r="I288" s="60" t="s">
        <v>253</v>
      </c>
      <c r="J288" s="61"/>
      <c r="K288" s="61"/>
      <c r="L288" s="42"/>
      <c r="M288" s="42"/>
      <c r="N288" s="42"/>
      <c r="O288" s="42"/>
      <c r="P288" s="42"/>
      <c r="Q288" s="42"/>
      <c r="R288" s="42"/>
      <c r="S288" s="42"/>
      <c r="T288" s="42"/>
      <c r="U288" s="42"/>
      <c r="V288" s="42"/>
      <c r="W288" s="42"/>
      <c r="X288" s="42"/>
      <c r="Y288" s="42"/>
      <c r="Z288" s="42"/>
    </row>
    <row r="289" ht="85.5" customHeight="1">
      <c r="A289" s="57" t="s">
        <v>247</v>
      </c>
      <c r="B289" s="57" t="s">
        <v>96</v>
      </c>
      <c r="C289" s="57" t="s">
        <v>1089</v>
      </c>
      <c r="D289" s="57" t="s">
        <v>1090</v>
      </c>
      <c r="E289" s="57" t="s">
        <v>1091</v>
      </c>
      <c r="F289" s="58">
        <v>4300000.0</v>
      </c>
      <c r="G289" s="57" t="s">
        <v>251</v>
      </c>
      <c r="H289" s="59" t="s">
        <v>252</v>
      </c>
      <c r="I289" s="60" t="s">
        <v>253</v>
      </c>
      <c r="J289" s="61"/>
      <c r="K289" s="61"/>
      <c r="L289" s="42"/>
      <c r="M289" s="42"/>
      <c r="N289" s="42"/>
      <c r="O289" s="42"/>
      <c r="P289" s="42"/>
      <c r="Q289" s="42"/>
      <c r="R289" s="42"/>
      <c r="S289" s="42"/>
      <c r="T289" s="42"/>
      <c r="U289" s="42"/>
      <c r="V289" s="42"/>
      <c r="W289" s="42"/>
      <c r="X289" s="42"/>
      <c r="Y289" s="42"/>
      <c r="Z289" s="42"/>
    </row>
    <row r="290" ht="57.0" customHeight="1">
      <c r="A290" s="57" t="s">
        <v>247</v>
      </c>
      <c r="B290" s="57" t="s">
        <v>96</v>
      </c>
      <c r="C290" s="57" t="s">
        <v>1092</v>
      </c>
      <c r="D290" s="57" t="s">
        <v>1093</v>
      </c>
      <c r="E290" s="57" t="s">
        <v>1094</v>
      </c>
      <c r="F290" s="58">
        <v>1900000.0</v>
      </c>
      <c r="G290" s="57" t="s">
        <v>251</v>
      </c>
      <c r="H290" s="59" t="s">
        <v>252</v>
      </c>
      <c r="I290" s="60" t="s">
        <v>253</v>
      </c>
      <c r="J290" s="61"/>
      <c r="K290" s="61"/>
      <c r="L290" s="42"/>
      <c r="M290" s="42"/>
      <c r="N290" s="42"/>
      <c r="O290" s="42"/>
      <c r="P290" s="42"/>
      <c r="Q290" s="42"/>
      <c r="R290" s="42"/>
      <c r="S290" s="42"/>
      <c r="T290" s="42"/>
      <c r="U290" s="42"/>
      <c r="V290" s="42"/>
      <c r="W290" s="42"/>
      <c r="X290" s="42"/>
      <c r="Y290" s="42"/>
      <c r="Z290" s="42"/>
    </row>
    <row r="291" ht="57.0" customHeight="1">
      <c r="A291" s="57" t="s">
        <v>247</v>
      </c>
      <c r="B291" s="57" t="s">
        <v>96</v>
      </c>
      <c r="C291" s="57" t="s">
        <v>1095</v>
      </c>
      <c r="D291" s="57" t="s">
        <v>1096</v>
      </c>
      <c r="E291" s="57" t="s">
        <v>1097</v>
      </c>
      <c r="F291" s="58">
        <v>2500000.0</v>
      </c>
      <c r="G291" s="57" t="s">
        <v>251</v>
      </c>
      <c r="H291" s="59" t="s">
        <v>252</v>
      </c>
      <c r="I291" s="60" t="s">
        <v>253</v>
      </c>
      <c r="J291" s="61"/>
      <c r="K291" s="61"/>
      <c r="L291" s="42"/>
      <c r="M291" s="42"/>
      <c r="N291" s="42"/>
      <c r="O291" s="42"/>
      <c r="P291" s="42"/>
      <c r="Q291" s="42"/>
      <c r="R291" s="42"/>
      <c r="S291" s="42"/>
      <c r="T291" s="42"/>
      <c r="U291" s="42"/>
      <c r="V291" s="42"/>
      <c r="W291" s="42"/>
      <c r="X291" s="42"/>
      <c r="Y291" s="42"/>
      <c r="Z291" s="42"/>
    </row>
    <row r="292" ht="57.0" customHeight="1">
      <c r="A292" s="57" t="s">
        <v>247</v>
      </c>
      <c r="B292" s="57" t="s">
        <v>96</v>
      </c>
      <c r="C292" s="57" t="s">
        <v>1098</v>
      </c>
      <c r="D292" s="57" t="s">
        <v>1099</v>
      </c>
      <c r="E292" s="57" t="s">
        <v>1100</v>
      </c>
      <c r="F292" s="58">
        <v>1800000.0</v>
      </c>
      <c r="G292" s="57" t="s">
        <v>251</v>
      </c>
      <c r="H292" s="59" t="s">
        <v>252</v>
      </c>
      <c r="I292" s="60" t="s">
        <v>472</v>
      </c>
      <c r="J292" s="61"/>
      <c r="K292" s="61"/>
      <c r="L292" s="42"/>
      <c r="M292" s="42"/>
      <c r="N292" s="42"/>
      <c r="O292" s="42"/>
      <c r="P292" s="42"/>
      <c r="Q292" s="42"/>
      <c r="R292" s="42"/>
      <c r="S292" s="42"/>
      <c r="T292" s="42"/>
      <c r="U292" s="42"/>
      <c r="V292" s="42"/>
      <c r="W292" s="42"/>
      <c r="X292" s="42"/>
      <c r="Y292" s="42"/>
      <c r="Z292" s="42"/>
    </row>
    <row r="293" ht="57.0" customHeight="1">
      <c r="A293" s="57" t="s">
        <v>247</v>
      </c>
      <c r="B293" s="57" t="s">
        <v>96</v>
      </c>
      <c r="C293" s="57" t="s">
        <v>1101</v>
      </c>
      <c r="D293" s="57" t="s">
        <v>1102</v>
      </c>
      <c r="E293" s="57" t="s">
        <v>1103</v>
      </c>
      <c r="F293" s="58">
        <v>100000.0</v>
      </c>
      <c r="G293" s="57" t="s">
        <v>664</v>
      </c>
      <c r="H293" s="59" t="s">
        <v>252</v>
      </c>
      <c r="I293" s="60" t="s">
        <v>253</v>
      </c>
      <c r="J293" s="61"/>
      <c r="K293" s="61"/>
      <c r="L293" s="42"/>
      <c r="M293" s="42"/>
      <c r="N293" s="42"/>
      <c r="O293" s="42"/>
      <c r="P293" s="42"/>
      <c r="Q293" s="42"/>
      <c r="R293" s="42"/>
      <c r="S293" s="42"/>
      <c r="T293" s="42"/>
      <c r="U293" s="42"/>
      <c r="V293" s="42"/>
      <c r="W293" s="42"/>
      <c r="X293" s="42"/>
      <c r="Y293" s="42"/>
      <c r="Z293" s="42"/>
    </row>
    <row r="294" ht="57.0" customHeight="1">
      <c r="A294" s="57" t="s">
        <v>247</v>
      </c>
      <c r="B294" s="57" t="s">
        <v>96</v>
      </c>
      <c r="C294" s="57" t="s">
        <v>1104</v>
      </c>
      <c r="D294" s="57" t="s">
        <v>1105</v>
      </c>
      <c r="E294" s="57" t="s">
        <v>1106</v>
      </c>
      <c r="F294" s="58">
        <v>550000.0</v>
      </c>
      <c r="G294" s="57" t="s">
        <v>251</v>
      </c>
      <c r="H294" s="59" t="s">
        <v>252</v>
      </c>
      <c r="I294" s="60" t="s">
        <v>253</v>
      </c>
      <c r="J294" s="61"/>
      <c r="K294" s="61"/>
      <c r="L294" s="42"/>
      <c r="M294" s="42"/>
      <c r="N294" s="42"/>
      <c r="O294" s="42"/>
      <c r="P294" s="42"/>
      <c r="Q294" s="42"/>
      <c r="R294" s="42"/>
      <c r="S294" s="42"/>
      <c r="T294" s="42"/>
      <c r="U294" s="42"/>
      <c r="V294" s="42"/>
      <c r="W294" s="42"/>
      <c r="X294" s="42"/>
      <c r="Y294" s="42"/>
      <c r="Z294" s="42"/>
    </row>
    <row r="295" ht="85.5" customHeight="1">
      <c r="A295" s="57" t="s">
        <v>247</v>
      </c>
      <c r="B295" s="57" t="s">
        <v>96</v>
      </c>
      <c r="C295" s="57" t="s">
        <v>1107</v>
      </c>
      <c r="D295" s="57" t="s">
        <v>1108</v>
      </c>
      <c r="E295" s="57" t="s">
        <v>1109</v>
      </c>
      <c r="F295" s="58">
        <v>1860000.0</v>
      </c>
      <c r="G295" s="57" t="s">
        <v>251</v>
      </c>
      <c r="H295" s="59" t="s">
        <v>594</v>
      </c>
      <c r="I295" s="59" t="s">
        <v>1110</v>
      </c>
      <c r="J295" s="61" t="s">
        <v>1111</v>
      </c>
      <c r="K295" s="67">
        <v>25689.0</v>
      </c>
      <c r="L295" s="42"/>
      <c r="M295" s="42"/>
      <c r="N295" s="42"/>
      <c r="O295" s="42"/>
      <c r="P295" s="42"/>
      <c r="Q295" s="42"/>
      <c r="R295" s="42"/>
      <c r="S295" s="42"/>
      <c r="T295" s="42"/>
      <c r="U295" s="42"/>
      <c r="V295" s="42"/>
      <c r="W295" s="42"/>
      <c r="X295" s="42"/>
      <c r="Y295" s="42"/>
      <c r="Z295" s="42"/>
    </row>
    <row r="296" ht="85.5" customHeight="1">
      <c r="A296" s="57" t="s">
        <v>247</v>
      </c>
      <c r="B296" s="57" t="s">
        <v>96</v>
      </c>
      <c r="C296" s="57" t="s">
        <v>1112</v>
      </c>
      <c r="D296" s="57" t="s">
        <v>1113</v>
      </c>
      <c r="E296" s="57" t="s">
        <v>1114</v>
      </c>
      <c r="F296" s="58">
        <v>2469000.0</v>
      </c>
      <c r="G296" s="57" t="s">
        <v>251</v>
      </c>
      <c r="H296" s="59" t="s">
        <v>594</v>
      </c>
      <c r="I296" s="59" t="s">
        <v>1110</v>
      </c>
      <c r="J296" s="61" t="s">
        <v>1111</v>
      </c>
      <c r="K296" s="67">
        <v>25689.0</v>
      </c>
      <c r="L296" s="42"/>
      <c r="M296" s="42"/>
      <c r="N296" s="42"/>
      <c r="O296" s="42"/>
      <c r="P296" s="42"/>
      <c r="Q296" s="42"/>
      <c r="R296" s="42"/>
      <c r="S296" s="42"/>
      <c r="T296" s="42"/>
      <c r="U296" s="42"/>
      <c r="V296" s="42"/>
      <c r="W296" s="42"/>
      <c r="X296" s="42"/>
      <c r="Y296" s="42"/>
      <c r="Z296" s="42"/>
    </row>
    <row r="297" ht="85.5" customHeight="1">
      <c r="A297" s="57" t="s">
        <v>247</v>
      </c>
      <c r="B297" s="57" t="s">
        <v>96</v>
      </c>
      <c r="C297" s="57" t="s">
        <v>1115</v>
      </c>
      <c r="D297" s="57" t="s">
        <v>1116</v>
      </c>
      <c r="E297" s="57" t="s">
        <v>1117</v>
      </c>
      <c r="F297" s="58">
        <v>1900000.0</v>
      </c>
      <c r="G297" s="57" t="s">
        <v>251</v>
      </c>
      <c r="H297" s="59" t="s">
        <v>594</v>
      </c>
      <c r="I297" s="59" t="s">
        <v>1110</v>
      </c>
      <c r="J297" s="61" t="s">
        <v>1118</v>
      </c>
      <c r="K297" s="67">
        <v>26024.0</v>
      </c>
      <c r="L297" s="42"/>
      <c r="M297" s="42"/>
      <c r="N297" s="42"/>
      <c r="O297" s="42"/>
      <c r="P297" s="42"/>
      <c r="Q297" s="42"/>
      <c r="R297" s="42"/>
      <c r="S297" s="42"/>
      <c r="T297" s="42"/>
      <c r="U297" s="42"/>
      <c r="V297" s="42"/>
      <c r="W297" s="42"/>
      <c r="X297" s="42"/>
      <c r="Y297" s="42"/>
      <c r="Z297" s="42"/>
    </row>
    <row r="298" ht="85.5" customHeight="1">
      <c r="A298" s="57" t="s">
        <v>247</v>
      </c>
      <c r="B298" s="57" t="s">
        <v>96</v>
      </c>
      <c r="C298" s="57" t="s">
        <v>1119</v>
      </c>
      <c r="D298" s="57" t="s">
        <v>1120</v>
      </c>
      <c r="E298" s="57" t="s">
        <v>1121</v>
      </c>
      <c r="F298" s="58">
        <v>2440000.0</v>
      </c>
      <c r="G298" s="57" t="s">
        <v>251</v>
      </c>
      <c r="H298" s="59" t="s">
        <v>594</v>
      </c>
      <c r="I298" s="59" t="s">
        <v>1110</v>
      </c>
      <c r="J298" s="61" t="s">
        <v>1118</v>
      </c>
      <c r="K298" s="67">
        <v>26024.0</v>
      </c>
      <c r="L298" s="42"/>
      <c r="M298" s="42"/>
      <c r="N298" s="42"/>
      <c r="O298" s="42"/>
      <c r="P298" s="42"/>
      <c r="Q298" s="42"/>
      <c r="R298" s="42"/>
      <c r="S298" s="42"/>
      <c r="T298" s="42"/>
      <c r="U298" s="42"/>
      <c r="V298" s="42"/>
      <c r="W298" s="42"/>
      <c r="X298" s="42"/>
      <c r="Y298" s="42"/>
      <c r="Z298" s="42"/>
    </row>
    <row r="299" ht="57.0" customHeight="1">
      <c r="A299" s="57" t="s">
        <v>247</v>
      </c>
      <c r="B299" s="57" t="s">
        <v>96</v>
      </c>
      <c r="C299" s="57" t="s">
        <v>1122</v>
      </c>
      <c r="D299" s="57" t="s">
        <v>1123</v>
      </c>
      <c r="E299" s="57" t="s">
        <v>1124</v>
      </c>
      <c r="F299" s="58">
        <v>280000.0</v>
      </c>
      <c r="G299" s="57" t="s">
        <v>251</v>
      </c>
      <c r="H299" s="59" t="s">
        <v>594</v>
      </c>
      <c r="I299" s="59" t="s">
        <v>1110</v>
      </c>
      <c r="J299" s="61" t="s">
        <v>1125</v>
      </c>
      <c r="K299" s="67">
        <v>26024.0</v>
      </c>
      <c r="L299" s="42"/>
      <c r="M299" s="42"/>
      <c r="N299" s="42"/>
      <c r="O299" s="42"/>
      <c r="P299" s="42"/>
      <c r="Q299" s="42"/>
      <c r="R299" s="42"/>
      <c r="S299" s="42"/>
      <c r="T299" s="42"/>
      <c r="U299" s="42"/>
      <c r="V299" s="42"/>
      <c r="W299" s="42"/>
      <c r="X299" s="42"/>
      <c r="Y299" s="42"/>
      <c r="Z299" s="42"/>
    </row>
    <row r="300" ht="57.0" customHeight="1">
      <c r="A300" s="57" t="s">
        <v>247</v>
      </c>
      <c r="B300" s="57" t="s">
        <v>96</v>
      </c>
      <c r="C300" s="57" t="s">
        <v>1126</v>
      </c>
      <c r="D300" s="57" t="s">
        <v>1127</v>
      </c>
      <c r="E300" s="57" t="s">
        <v>1128</v>
      </c>
      <c r="F300" s="58">
        <v>380000.0</v>
      </c>
      <c r="G300" s="57" t="s">
        <v>251</v>
      </c>
      <c r="H300" s="59" t="s">
        <v>594</v>
      </c>
      <c r="I300" s="59" t="s">
        <v>1110</v>
      </c>
      <c r="J300" s="61" t="s">
        <v>1125</v>
      </c>
      <c r="K300" s="67">
        <v>26024.0</v>
      </c>
      <c r="L300" s="42"/>
      <c r="M300" s="42"/>
      <c r="N300" s="42"/>
      <c r="O300" s="42"/>
      <c r="P300" s="42"/>
      <c r="Q300" s="42"/>
      <c r="R300" s="42"/>
      <c r="S300" s="42"/>
      <c r="T300" s="42"/>
      <c r="U300" s="42"/>
      <c r="V300" s="42"/>
      <c r="W300" s="42"/>
      <c r="X300" s="42"/>
      <c r="Y300" s="42"/>
      <c r="Z300" s="42"/>
    </row>
    <row r="301" ht="57.0" customHeight="1">
      <c r="A301" s="57" t="s">
        <v>247</v>
      </c>
      <c r="B301" s="57" t="s">
        <v>96</v>
      </c>
      <c r="C301" s="57" t="s">
        <v>1129</v>
      </c>
      <c r="D301" s="57" t="s">
        <v>1130</v>
      </c>
      <c r="E301" s="57" t="s">
        <v>1131</v>
      </c>
      <c r="F301" s="58">
        <v>460000.0</v>
      </c>
      <c r="G301" s="57" t="s">
        <v>251</v>
      </c>
      <c r="H301" s="59" t="s">
        <v>594</v>
      </c>
      <c r="I301" s="59" t="s">
        <v>1110</v>
      </c>
      <c r="J301" s="61" t="s">
        <v>1125</v>
      </c>
      <c r="K301" s="67">
        <v>26024.0</v>
      </c>
      <c r="L301" s="42"/>
      <c r="M301" s="42"/>
      <c r="N301" s="42"/>
      <c r="O301" s="42"/>
      <c r="P301" s="42"/>
      <c r="Q301" s="42"/>
      <c r="R301" s="42"/>
      <c r="S301" s="42"/>
      <c r="T301" s="42"/>
      <c r="U301" s="42"/>
      <c r="V301" s="42"/>
      <c r="W301" s="42"/>
      <c r="X301" s="42"/>
      <c r="Y301" s="42"/>
      <c r="Z301" s="42"/>
    </row>
    <row r="302" ht="57.0" customHeight="1">
      <c r="A302" s="57" t="s">
        <v>247</v>
      </c>
      <c r="B302" s="57" t="s">
        <v>96</v>
      </c>
      <c r="C302" s="57" t="s">
        <v>1132</v>
      </c>
      <c r="D302" s="57" t="s">
        <v>1133</v>
      </c>
      <c r="E302" s="57" t="s">
        <v>1134</v>
      </c>
      <c r="F302" s="58">
        <v>560000.0</v>
      </c>
      <c r="G302" s="57" t="s">
        <v>251</v>
      </c>
      <c r="H302" s="59" t="s">
        <v>594</v>
      </c>
      <c r="I302" s="59" t="s">
        <v>1110</v>
      </c>
      <c r="J302" s="61" t="s">
        <v>1125</v>
      </c>
      <c r="K302" s="67">
        <v>26024.0</v>
      </c>
      <c r="L302" s="42"/>
      <c r="M302" s="42"/>
      <c r="N302" s="42"/>
      <c r="O302" s="42"/>
      <c r="P302" s="42"/>
      <c r="Q302" s="42"/>
      <c r="R302" s="42"/>
      <c r="S302" s="42"/>
      <c r="T302" s="42"/>
      <c r="U302" s="42"/>
      <c r="V302" s="42"/>
      <c r="W302" s="42"/>
      <c r="X302" s="42"/>
      <c r="Y302" s="42"/>
      <c r="Z302" s="42"/>
    </row>
    <row r="303" ht="57.0" customHeight="1">
      <c r="A303" s="57" t="s">
        <v>247</v>
      </c>
      <c r="B303" s="57" t="s">
        <v>96</v>
      </c>
      <c r="C303" s="57" t="s">
        <v>1135</v>
      </c>
      <c r="D303" s="57" t="s">
        <v>1136</v>
      </c>
      <c r="E303" s="57" t="s">
        <v>1137</v>
      </c>
      <c r="F303" s="58">
        <v>830000.0</v>
      </c>
      <c r="G303" s="57" t="s">
        <v>251</v>
      </c>
      <c r="H303" s="59" t="s">
        <v>594</v>
      </c>
      <c r="I303" s="59" t="s">
        <v>1110</v>
      </c>
      <c r="J303" s="61" t="s">
        <v>1125</v>
      </c>
      <c r="K303" s="67">
        <v>26024.0</v>
      </c>
      <c r="L303" s="42"/>
      <c r="M303" s="42"/>
      <c r="N303" s="42"/>
      <c r="O303" s="42"/>
      <c r="P303" s="42"/>
      <c r="Q303" s="42"/>
      <c r="R303" s="42"/>
      <c r="S303" s="42"/>
      <c r="T303" s="42"/>
      <c r="U303" s="42"/>
      <c r="V303" s="42"/>
      <c r="W303" s="42"/>
      <c r="X303" s="42"/>
      <c r="Y303" s="42"/>
      <c r="Z303" s="42"/>
    </row>
    <row r="304" ht="57.0" customHeight="1">
      <c r="A304" s="57" t="s">
        <v>247</v>
      </c>
      <c r="B304" s="57" t="s">
        <v>96</v>
      </c>
      <c r="C304" s="57" t="s">
        <v>1138</v>
      </c>
      <c r="D304" s="57" t="s">
        <v>1139</v>
      </c>
      <c r="E304" s="57" t="s">
        <v>1140</v>
      </c>
      <c r="F304" s="58">
        <v>200000.0</v>
      </c>
      <c r="G304" s="57" t="s">
        <v>251</v>
      </c>
      <c r="H304" s="59" t="s">
        <v>252</v>
      </c>
      <c r="I304" s="60" t="s">
        <v>253</v>
      </c>
      <c r="J304" s="61"/>
      <c r="K304" s="61"/>
      <c r="L304" s="42"/>
      <c r="M304" s="42"/>
      <c r="N304" s="42"/>
      <c r="O304" s="42"/>
      <c r="P304" s="42"/>
      <c r="Q304" s="42"/>
      <c r="R304" s="42"/>
      <c r="S304" s="42"/>
      <c r="T304" s="42"/>
      <c r="U304" s="42"/>
      <c r="V304" s="42"/>
      <c r="W304" s="42"/>
      <c r="X304" s="42"/>
      <c r="Y304" s="42"/>
      <c r="Z304" s="42"/>
    </row>
    <row r="305" ht="57.0" customHeight="1">
      <c r="A305" s="57" t="s">
        <v>247</v>
      </c>
      <c r="B305" s="57" t="s">
        <v>96</v>
      </c>
      <c r="C305" s="57" t="s">
        <v>1141</v>
      </c>
      <c r="D305" s="57" t="s">
        <v>1142</v>
      </c>
      <c r="E305" s="57" t="s">
        <v>1143</v>
      </c>
      <c r="F305" s="68">
        <v>1.0E7</v>
      </c>
      <c r="G305" s="57" t="s">
        <v>251</v>
      </c>
      <c r="H305" s="59" t="s">
        <v>252</v>
      </c>
      <c r="I305" s="60" t="s">
        <v>253</v>
      </c>
      <c r="J305" s="61"/>
      <c r="K305" s="61"/>
      <c r="L305" s="42"/>
      <c r="M305" s="42"/>
      <c r="N305" s="42"/>
      <c r="O305" s="42"/>
      <c r="P305" s="42"/>
      <c r="Q305" s="42"/>
      <c r="R305" s="42"/>
      <c r="S305" s="42"/>
      <c r="T305" s="42"/>
      <c r="U305" s="42"/>
      <c r="V305" s="42"/>
      <c r="W305" s="42"/>
      <c r="X305" s="42"/>
      <c r="Y305" s="42"/>
      <c r="Z305" s="42"/>
    </row>
    <row r="306" ht="57.0" customHeight="1">
      <c r="A306" s="57" t="s">
        <v>247</v>
      </c>
      <c r="B306" s="57" t="s">
        <v>96</v>
      </c>
      <c r="C306" s="57" t="s">
        <v>1144</v>
      </c>
      <c r="D306" s="57" t="s">
        <v>1145</v>
      </c>
      <c r="E306" s="57" t="s">
        <v>1146</v>
      </c>
      <c r="F306" s="68">
        <v>1.8E7</v>
      </c>
      <c r="G306" s="57" t="s">
        <v>251</v>
      </c>
      <c r="H306" s="59" t="s">
        <v>252</v>
      </c>
      <c r="I306" s="60" t="s">
        <v>253</v>
      </c>
      <c r="J306" s="61"/>
      <c r="K306" s="61"/>
      <c r="L306" s="42"/>
      <c r="M306" s="42"/>
      <c r="N306" s="42"/>
      <c r="O306" s="42"/>
      <c r="P306" s="42"/>
      <c r="Q306" s="42"/>
      <c r="R306" s="42"/>
      <c r="S306" s="42"/>
      <c r="T306" s="42"/>
      <c r="U306" s="42"/>
      <c r="V306" s="42"/>
      <c r="W306" s="42"/>
      <c r="X306" s="42"/>
      <c r="Y306" s="42"/>
      <c r="Z306" s="42"/>
    </row>
    <row r="307" ht="57.0" customHeight="1">
      <c r="A307" s="57" t="s">
        <v>247</v>
      </c>
      <c r="B307" s="57" t="s">
        <v>96</v>
      </c>
      <c r="C307" s="57" t="s">
        <v>1147</v>
      </c>
      <c r="D307" s="57" t="s">
        <v>1148</v>
      </c>
      <c r="E307" s="57" t="s">
        <v>1149</v>
      </c>
      <c r="F307" s="68">
        <v>2.4E7</v>
      </c>
      <c r="G307" s="57" t="s">
        <v>251</v>
      </c>
      <c r="H307" s="59" t="s">
        <v>252</v>
      </c>
      <c r="I307" s="60" t="s">
        <v>253</v>
      </c>
      <c r="J307" s="61"/>
      <c r="K307" s="61"/>
      <c r="L307" s="42"/>
      <c r="M307" s="42"/>
      <c r="N307" s="42"/>
      <c r="O307" s="42"/>
      <c r="P307" s="42"/>
      <c r="Q307" s="42"/>
      <c r="R307" s="42"/>
      <c r="S307" s="42"/>
      <c r="T307" s="42"/>
      <c r="U307" s="42"/>
      <c r="V307" s="42"/>
      <c r="W307" s="42"/>
      <c r="X307" s="42"/>
      <c r="Y307" s="42"/>
      <c r="Z307" s="42"/>
    </row>
    <row r="308" ht="57.0" customHeight="1">
      <c r="A308" s="57" t="s">
        <v>247</v>
      </c>
      <c r="B308" s="57" t="s">
        <v>96</v>
      </c>
      <c r="C308" s="57" t="s">
        <v>1150</v>
      </c>
      <c r="D308" s="57" t="s">
        <v>1151</v>
      </c>
      <c r="E308" s="57" t="s">
        <v>1152</v>
      </c>
      <c r="F308" s="68">
        <v>4.0E7</v>
      </c>
      <c r="G308" s="57" t="s">
        <v>251</v>
      </c>
      <c r="H308" s="59" t="s">
        <v>252</v>
      </c>
      <c r="I308" s="60" t="s">
        <v>253</v>
      </c>
      <c r="J308" s="61"/>
      <c r="K308" s="61"/>
      <c r="L308" s="42"/>
      <c r="M308" s="42"/>
      <c r="N308" s="42"/>
      <c r="O308" s="42"/>
      <c r="P308" s="42"/>
      <c r="Q308" s="42"/>
      <c r="R308" s="42"/>
      <c r="S308" s="42"/>
      <c r="T308" s="42"/>
      <c r="U308" s="42"/>
      <c r="V308" s="42"/>
      <c r="W308" s="42"/>
      <c r="X308" s="42"/>
      <c r="Y308" s="42"/>
      <c r="Z308" s="42"/>
    </row>
    <row r="309" ht="57.0" customHeight="1">
      <c r="A309" s="57" t="s">
        <v>247</v>
      </c>
      <c r="B309" s="57" t="s">
        <v>96</v>
      </c>
      <c r="C309" s="57" t="s">
        <v>1153</v>
      </c>
      <c r="D309" s="57" t="s">
        <v>1154</v>
      </c>
      <c r="E309" s="57" t="s">
        <v>1155</v>
      </c>
      <c r="F309" s="69">
        <v>1200000.0</v>
      </c>
      <c r="G309" s="59" t="s">
        <v>251</v>
      </c>
      <c r="H309" s="59" t="s">
        <v>252</v>
      </c>
      <c r="I309" s="60" t="s">
        <v>468</v>
      </c>
      <c r="J309" s="61"/>
      <c r="K309" s="61"/>
      <c r="L309" s="42"/>
      <c r="M309" s="42"/>
      <c r="N309" s="42"/>
      <c r="O309" s="42"/>
      <c r="P309" s="42"/>
      <c r="Q309" s="42"/>
      <c r="R309" s="42"/>
      <c r="S309" s="42"/>
      <c r="T309" s="42"/>
      <c r="U309" s="42"/>
      <c r="V309" s="42"/>
      <c r="W309" s="42"/>
      <c r="X309" s="42"/>
      <c r="Y309" s="42"/>
      <c r="Z309" s="42"/>
    </row>
    <row r="310" ht="57.0" customHeight="1">
      <c r="A310" s="57" t="s">
        <v>247</v>
      </c>
      <c r="B310" s="57" t="s">
        <v>96</v>
      </c>
      <c r="C310" s="57" t="s">
        <v>1156</v>
      </c>
      <c r="D310" s="57" t="s">
        <v>1157</v>
      </c>
      <c r="E310" s="57" t="s">
        <v>1158</v>
      </c>
      <c r="F310" s="69">
        <v>490000.0</v>
      </c>
      <c r="G310" s="59" t="s">
        <v>251</v>
      </c>
      <c r="H310" s="59" t="s">
        <v>252</v>
      </c>
      <c r="I310" s="60" t="s">
        <v>468</v>
      </c>
      <c r="J310" s="61"/>
      <c r="K310" s="61"/>
      <c r="L310" s="42"/>
      <c r="M310" s="42"/>
      <c r="N310" s="42"/>
      <c r="O310" s="42"/>
      <c r="P310" s="42"/>
      <c r="Q310" s="42"/>
      <c r="R310" s="42"/>
      <c r="S310" s="42"/>
      <c r="T310" s="42"/>
      <c r="U310" s="42"/>
      <c r="V310" s="42"/>
      <c r="W310" s="42"/>
      <c r="X310" s="42"/>
      <c r="Y310" s="42"/>
      <c r="Z310" s="42"/>
    </row>
    <row r="311" ht="57.0" customHeight="1">
      <c r="A311" s="57" t="s">
        <v>247</v>
      </c>
      <c r="B311" s="57" t="s">
        <v>96</v>
      </c>
      <c r="C311" s="57" t="s">
        <v>1159</v>
      </c>
      <c r="D311" s="57" t="s">
        <v>1160</v>
      </c>
      <c r="E311" s="59" t="s">
        <v>1161</v>
      </c>
      <c r="F311" s="58">
        <v>350000.0</v>
      </c>
      <c r="G311" s="59" t="s">
        <v>251</v>
      </c>
      <c r="H311" s="59" t="s">
        <v>252</v>
      </c>
      <c r="I311" s="60" t="s">
        <v>468</v>
      </c>
      <c r="J311" s="61"/>
      <c r="K311" s="61"/>
      <c r="L311" s="42"/>
      <c r="M311" s="42"/>
      <c r="N311" s="42"/>
      <c r="O311" s="42"/>
      <c r="P311" s="42"/>
      <c r="Q311" s="42"/>
      <c r="R311" s="42"/>
      <c r="S311" s="42"/>
      <c r="T311" s="42"/>
      <c r="U311" s="42"/>
      <c r="V311" s="42"/>
      <c r="W311" s="42"/>
      <c r="X311" s="42"/>
      <c r="Y311" s="42"/>
      <c r="Z311" s="42"/>
    </row>
    <row r="312" ht="57.0" customHeight="1">
      <c r="A312" s="57" t="s">
        <v>247</v>
      </c>
      <c r="B312" s="57" t="s">
        <v>96</v>
      </c>
      <c r="C312" s="57" t="s">
        <v>1162</v>
      </c>
      <c r="D312" s="57" t="s">
        <v>1163</v>
      </c>
      <c r="E312" s="57" t="s">
        <v>1164</v>
      </c>
      <c r="F312" s="69">
        <v>650000.0</v>
      </c>
      <c r="G312" s="59" t="s">
        <v>251</v>
      </c>
      <c r="H312" s="59" t="s">
        <v>252</v>
      </c>
      <c r="I312" s="60" t="s">
        <v>468</v>
      </c>
      <c r="J312" s="61"/>
      <c r="K312" s="61"/>
      <c r="L312" s="42"/>
      <c r="M312" s="42"/>
      <c r="N312" s="42"/>
      <c r="O312" s="42"/>
      <c r="P312" s="42"/>
      <c r="Q312" s="42"/>
      <c r="R312" s="42"/>
      <c r="S312" s="42"/>
      <c r="T312" s="42"/>
      <c r="U312" s="42"/>
      <c r="V312" s="42"/>
      <c r="W312" s="42"/>
      <c r="X312" s="42"/>
      <c r="Y312" s="42"/>
      <c r="Z312" s="42"/>
    </row>
    <row r="313" ht="57.0" customHeight="1">
      <c r="A313" s="57" t="s">
        <v>247</v>
      </c>
      <c r="B313" s="57" t="s">
        <v>96</v>
      </c>
      <c r="C313" s="57" t="s">
        <v>1165</v>
      </c>
      <c r="D313" s="57" t="s">
        <v>1166</v>
      </c>
      <c r="E313" s="57" t="s">
        <v>1167</v>
      </c>
      <c r="F313" s="69">
        <v>850000.0</v>
      </c>
      <c r="G313" s="59" t="s">
        <v>251</v>
      </c>
      <c r="H313" s="59" t="s">
        <v>252</v>
      </c>
      <c r="I313" s="60" t="s">
        <v>468</v>
      </c>
      <c r="J313" s="61"/>
      <c r="K313" s="61"/>
      <c r="L313" s="42"/>
      <c r="M313" s="42"/>
      <c r="N313" s="42"/>
      <c r="O313" s="42"/>
      <c r="P313" s="42"/>
      <c r="Q313" s="42"/>
      <c r="R313" s="42"/>
      <c r="S313" s="42"/>
      <c r="T313" s="42"/>
      <c r="U313" s="42"/>
      <c r="V313" s="42"/>
      <c r="W313" s="42"/>
      <c r="X313" s="42"/>
      <c r="Y313" s="42"/>
      <c r="Z313" s="42"/>
    </row>
    <row r="314" ht="57.0" customHeight="1">
      <c r="A314" s="57" t="s">
        <v>247</v>
      </c>
      <c r="B314" s="57" t="s">
        <v>96</v>
      </c>
      <c r="C314" s="57" t="s">
        <v>1168</v>
      </c>
      <c r="D314" s="57" t="s">
        <v>1169</v>
      </c>
      <c r="E314" s="57" t="s">
        <v>1170</v>
      </c>
      <c r="F314" s="69">
        <v>1200000.0</v>
      </c>
      <c r="G314" s="59" t="s">
        <v>251</v>
      </c>
      <c r="H314" s="59" t="s">
        <v>252</v>
      </c>
      <c r="I314" s="60" t="s">
        <v>468</v>
      </c>
      <c r="J314" s="61"/>
      <c r="K314" s="61"/>
      <c r="L314" s="42"/>
      <c r="M314" s="42"/>
      <c r="N314" s="42"/>
      <c r="O314" s="42"/>
      <c r="P314" s="42"/>
      <c r="Q314" s="42"/>
      <c r="R314" s="42"/>
      <c r="S314" s="42"/>
      <c r="T314" s="42"/>
      <c r="U314" s="42"/>
      <c r="V314" s="42"/>
      <c r="W314" s="42"/>
      <c r="X314" s="42"/>
      <c r="Y314" s="42"/>
      <c r="Z314" s="42"/>
    </row>
    <row r="315" ht="30.75" customHeight="1">
      <c r="A315" s="52" t="s">
        <v>247</v>
      </c>
      <c r="B315" s="52" t="s">
        <v>99</v>
      </c>
      <c r="C315" s="52" t="s">
        <v>100</v>
      </c>
      <c r="D315" s="52" t="s">
        <v>101</v>
      </c>
      <c r="E315" s="52"/>
      <c r="F315" s="62"/>
      <c r="G315" s="52"/>
      <c r="H315" s="63"/>
      <c r="I315" s="63"/>
      <c r="J315" s="54"/>
      <c r="K315" s="54"/>
      <c r="L315" s="56"/>
      <c r="M315" s="56"/>
      <c r="N315" s="56"/>
      <c r="O315" s="56"/>
      <c r="P315" s="56"/>
      <c r="Q315" s="56"/>
      <c r="R315" s="56"/>
      <c r="S315" s="56"/>
      <c r="T315" s="56"/>
      <c r="U315" s="56"/>
      <c r="V315" s="56"/>
      <c r="W315" s="56"/>
      <c r="X315" s="56"/>
      <c r="Y315" s="56"/>
      <c r="Z315" s="56"/>
    </row>
    <row r="316" ht="57.0" customHeight="1">
      <c r="A316" s="57" t="s">
        <v>247</v>
      </c>
      <c r="B316" s="57" t="s">
        <v>99</v>
      </c>
      <c r="C316" s="57" t="s">
        <v>1171</v>
      </c>
      <c r="D316" s="57" t="s">
        <v>1172</v>
      </c>
      <c r="E316" s="57" t="s">
        <v>1173</v>
      </c>
      <c r="F316" s="58">
        <v>1200000.0</v>
      </c>
      <c r="G316" s="57" t="s">
        <v>467</v>
      </c>
      <c r="H316" s="59" t="s">
        <v>252</v>
      </c>
      <c r="I316" s="60" t="s">
        <v>253</v>
      </c>
      <c r="J316" s="61"/>
      <c r="K316" s="61"/>
      <c r="L316" s="42"/>
      <c r="M316" s="42"/>
      <c r="N316" s="42"/>
      <c r="O316" s="42"/>
      <c r="P316" s="42"/>
      <c r="Q316" s="42"/>
      <c r="R316" s="42"/>
      <c r="S316" s="42"/>
      <c r="T316" s="42"/>
      <c r="U316" s="42"/>
      <c r="V316" s="42"/>
      <c r="W316" s="42"/>
      <c r="X316" s="42"/>
      <c r="Y316" s="42"/>
      <c r="Z316" s="42"/>
    </row>
    <row r="317" ht="57.0" customHeight="1">
      <c r="A317" s="57" t="s">
        <v>247</v>
      </c>
      <c r="B317" s="57" t="s">
        <v>99</v>
      </c>
      <c r="C317" s="57" t="s">
        <v>1174</v>
      </c>
      <c r="D317" s="57" t="s">
        <v>1175</v>
      </c>
      <c r="E317" s="57" t="s">
        <v>1176</v>
      </c>
      <c r="F317" s="58">
        <v>1500000.0</v>
      </c>
      <c r="G317" s="57" t="s">
        <v>251</v>
      </c>
      <c r="H317" s="59" t="s">
        <v>252</v>
      </c>
      <c r="I317" s="60" t="s">
        <v>253</v>
      </c>
      <c r="J317" s="61"/>
      <c r="K317" s="61"/>
      <c r="L317" s="42"/>
      <c r="M317" s="42"/>
      <c r="N317" s="42"/>
      <c r="O317" s="42"/>
      <c r="P317" s="42"/>
      <c r="Q317" s="42"/>
      <c r="R317" s="42"/>
      <c r="S317" s="42"/>
      <c r="T317" s="42"/>
      <c r="U317" s="42"/>
      <c r="V317" s="42"/>
      <c r="W317" s="42"/>
      <c r="X317" s="42"/>
      <c r="Y317" s="42"/>
      <c r="Z317" s="42"/>
    </row>
    <row r="318" ht="57.0" customHeight="1">
      <c r="A318" s="57" t="s">
        <v>247</v>
      </c>
      <c r="B318" s="57" t="s">
        <v>99</v>
      </c>
      <c r="C318" s="57" t="s">
        <v>1177</v>
      </c>
      <c r="D318" s="57" t="s">
        <v>1178</v>
      </c>
      <c r="E318" s="57" t="s">
        <v>1179</v>
      </c>
      <c r="F318" s="58">
        <v>1900000.0</v>
      </c>
      <c r="G318" s="57" t="s">
        <v>251</v>
      </c>
      <c r="H318" s="59" t="s">
        <v>252</v>
      </c>
      <c r="I318" s="60" t="s">
        <v>253</v>
      </c>
      <c r="J318" s="61"/>
      <c r="K318" s="61"/>
      <c r="L318" s="42"/>
      <c r="M318" s="42"/>
      <c r="N318" s="42"/>
      <c r="O318" s="42"/>
      <c r="P318" s="42"/>
      <c r="Q318" s="42"/>
      <c r="R318" s="42"/>
      <c r="S318" s="42"/>
      <c r="T318" s="42"/>
      <c r="U318" s="42"/>
      <c r="V318" s="42"/>
      <c r="W318" s="42"/>
      <c r="X318" s="42"/>
      <c r="Y318" s="42"/>
      <c r="Z318" s="42"/>
    </row>
    <row r="319" ht="57.0" customHeight="1">
      <c r="A319" s="57" t="s">
        <v>247</v>
      </c>
      <c r="B319" s="57" t="s">
        <v>99</v>
      </c>
      <c r="C319" s="57" t="s">
        <v>1180</v>
      </c>
      <c r="D319" s="57" t="s">
        <v>1181</v>
      </c>
      <c r="E319" s="57" t="s">
        <v>1182</v>
      </c>
      <c r="F319" s="58">
        <v>380000.0</v>
      </c>
      <c r="G319" s="57" t="s">
        <v>251</v>
      </c>
      <c r="H319" s="59" t="s">
        <v>252</v>
      </c>
      <c r="I319" s="60" t="s">
        <v>253</v>
      </c>
      <c r="J319" s="61"/>
      <c r="K319" s="61"/>
      <c r="L319" s="42"/>
      <c r="M319" s="42"/>
      <c r="N319" s="42"/>
      <c r="O319" s="42"/>
      <c r="P319" s="42"/>
      <c r="Q319" s="42"/>
      <c r="R319" s="42"/>
      <c r="S319" s="42"/>
      <c r="T319" s="42"/>
      <c r="U319" s="42"/>
      <c r="V319" s="42"/>
      <c r="W319" s="42"/>
      <c r="X319" s="42"/>
      <c r="Y319" s="42"/>
      <c r="Z319" s="42"/>
    </row>
    <row r="320" ht="57.0" customHeight="1">
      <c r="A320" s="57" t="s">
        <v>247</v>
      </c>
      <c r="B320" s="57" t="s">
        <v>99</v>
      </c>
      <c r="C320" s="57" t="s">
        <v>1183</v>
      </c>
      <c r="D320" s="57" t="s">
        <v>1184</v>
      </c>
      <c r="E320" s="57" t="s">
        <v>1185</v>
      </c>
      <c r="F320" s="58">
        <v>550000.0</v>
      </c>
      <c r="G320" s="57" t="s">
        <v>251</v>
      </c>
      <c r="H320" s="59" t="s">
        <v>252</v>
      </c>
      <c r="I320" s="60" t="s">
        <v>253</v>
      </c>
      <c r="J320" s="61"/>
      <c r="K320" s="61"/>
      <c r="L320" s="42"/>
      <c r="M320" s="42"/>
      <c r="N320" s="42"/>
      <c r="O320" s="42"/>
      <c r="P320" s="42"/>
      <c r="Q320" s="42"/>
      <c r="R320" s="42"/>
      <c r="S320" s="42"/>
      <c r="T320" s="42"/>
      <c r="U320" s="42"/>
      <c r="V320" s="42"/>
      <c r="W320" s="42"/>
      <c r="X320" s="42"/>
      <c r="Y320" s="42"/>
      <c r="Z320" s="42"/>
    </row>
    <row r="321" ht="57.0" customHeight="1">
      <c r="A321" s="57" t="s">
        <v>247</v>
      </c>
      <c r="B321" s="57" t="s">
        <v>99</v>
      </c>
      <c r="C321" s="57" t="s">
        <v>1186</v>
      </c>
      <c r="D321" s="57" t="s">
        <v>1187</v>
      </c>
      <c r="E321" s="57" t="s">
        <v>1188</v>
      </c>
      <c r="F321" s="58">
        <v>300000.0</v>
      </c>
      <c r="G321" s="57" t="s">
        <v>251</v>
      </c>
      <c r="H321" s="59" t="s">
        <v>252</v>
      </c>
      <c r="I321" s="60" t="s">
        <v>253</v>
      </c>
      <c r="J321" s="61"/>
      <c r="K321" s="61"/>
      <c r="L321" s="42"/>
      <c r="M321" s="42"/>
      <c r="N321" s="42"/>
      <c r="O321" s="42"/>
      <c r="P321" s="42"/>
      <c r="Q321" s="42"/>
      <c r="R321" s="42"/>
      <c r="S321" s="42"/>
      <c r="T321" s="42"/>
      <c r="U321" s="42"/>
      <c r="V321" s="42"/>
      <c r="W321" s="42"/>
      <c r="X321" s="42"/>
      <c r="Y321" s="42"/>
      <c r="Z321" s="42"/>
    </row>
    <row r="322" ht="57.0" customHeight="1">
      <c r="A322" s="57" t="s">
        <v>247</v>
      </c>
      <c r="B322" s="57" t="s">
        <v>99</v>
      </c>
      <c r="C322" s="57" t="s">
        <v>1189</v>
      </c>
      <c r="D322" s="57" t="s">
        <v>1190</v>
      </c>
      <c r="E322" s="57" t="s">
        <v>1191</v>
      </c>
      <c r="F322" s="58">
        <v>500000.0</v>
      </c>
      <c r="G322" s="57" t="s">
        <v>251</v>
      </c>
      <c r="H322" s="59" t="s">
        <v>252</v>
      </c>
      <c r="I322" s="60" t="s">
        <v>253</v>
      </c>
      <c r="J322" s="61"/>
      <c r="K322" s="61"/>
      <c r="L322" s="42"/>
      <c r="M322" s="42"/>
      <c r="N322" s="42"/>
      <c r="O322" s="42"/>
      <c r="P322" s="42"/>
      <c r="Q322" s="42"/>
      <c r="R322" s="42"/>
      <c r="S322" s="42"/>
      <c r="T322" s="42"/>
      <c r="U322" s="42"/>
      <c r="V322" s="42"/>
      <c r="W322" s="42"/>
      <c r="X322" s="42"/>
      <c r="Y322" s="42"/>
      <c r="Z322" s="42"/>
    </row>
    <row r="323" ht="57.0" customHeight="1">
      <c r="A323" s="57" t="s">
        <v>247</v>
      </c>
      <c r="B323" s="57" t="s">
        <v>99</v>
      </c>
      <c r="C323" s="57" t="s">
        <v>1192</v>
      </c>
      <c r="D323" s="57" t="s">
        <v>1193</v>
      </c>
      <c r="E323" s="57" t="s">
        <v>1194</v>
      </c>
      <c r="F323" s="58">
        <v>800000.0</v>
      </c>
      <c r="G323" s="57" t="s">
        <v>251</v>
      </c>
      <c r="H323" s="59" t="s">
        <v>252</v>
      </c>
      <c r="I323" s="60" t="s">
        <v>253</v>
      </c>
      <c r="J323" s="61"/>
      <c r="K323" s="61"/>
      <c r="L323" s="42"/>
      <c r="M323" s="42"/>
      <c r="N323" s="42"/>
      <c r="O323" s="42"/>
      <c r="P323" s="42"/>
      <c r="Q323" s="42"/>
      <c r="R323" s="42"/>
      <c r="S323" s="42"/>
      <c r="T323" s="42"/>
      <c r="U323" s="42"/>
      <c r="V323" s="42"/>
      <c r="W323" s="42"/>
      <c r="X323" s="42"/>
      <c r="Y323" s="42"/>
      <c r="Z323" s="42"/>
    </row>
    <row r="324" ht="57.0" customHeight="1">
      <c r="A324" s="57" t="s">
        <v>247</v>
      </c>
      <c r="B324" s="57" t="s">
        <v>99</v>
      </c>
      <c r="C324" s="57" t="s">
        <v>1195</v>
      </c>
      <c r="D324" s="57" t="s">
        <v>1196</v>
      </c>
      <c r="E324" s="57" t="s">
        <v>1197</v>
      </c>
      <c r="F324" s="58">
        <v>1400000.0</v>
      </c>
      <c r="G324" s="57" t="s">
        <v>251</v>
      </c>
      <c r="H324" s="59" t="s">
        <v>252</v>
      </c>
      <c r="I324" s="60" t="s">
        <v>253</v>
      </c>
      <c r="J324" s="61"/>
      <c r="K324" s="61"/>
      <c r="L324" s="42"/>
      <c r="M324" s="42"/>
      <c r="N324" s="42"/>
      <c r="O324" s="42"/>
      <c r="P324" s="42"/>
      <c r="Q324" s="42"/>
      <c r="R324" s="42"/>
      <c r="S324" s="42"/>
      <c r="T324" s="42"/>
      <c r="U324" s="42"/>
      <c r="V324" s="42"/>
      <c r="W324" s="42"/>
      <c r="X324" s="42"/>
      <c r="Y324" s="42"/>
      <c r="Z324" s="42"/>
    </row>
    <row r="325" ht="57.0" customHeight="1">
      <c r="A325" s="57" t="s">
        <v>247</v>
      </c>
      <c r="B325" s="57" t="s">
        <v>99</v>
      </c>
      <c r="C325" s="57" t="s">
        <v>1198</v>
      </c>
      <c r="D325" s="57" t="s">
        <v>1199</v>
      </c>
      <c r="E325" s="57" t="s">
        <v>1200</v>
      </c>
      <c r="F325" s="58">
        <v>1650000.0</v>
      </c>
      <c r="G325" s="57" t="s">
        <v>251</v>
      </c>
      <c r="H325" s="59" t="s">
        <v>252</v>
      </c>
      <c r="I325" s="60" t="s">
        <v>253</v>
      </c>
      <c r="J325" s="61"/>
      <c r="K325" s="61"/>
      <c r="L325" s="42"/>
      <c r="M325" s="42"/>
      <c r="N325" s="42"/>
      <c r="O325" s="42"/>
      <c r="P325" s="42"/>
      <c r="Q325" s="42"/>
      <c r="R325" s="42"/>
      <c r="S325" s="42"/>
      <c r="T325" s="42"/>
      <c r="U325" s="42"/>
      <c r="V325" s="42"/>
      <c r="W325" s="42"/>
      <c r="X325" s="42"/>
      <c r="Y325" s="42"/>
      <c r="Z325" s="42"/>
    </row>
    <row r="326" ht="57.0" customHeight="1">
      <c r="A326" s="57" t="s">
        <v>247</v>
      </c>
      <c r="B326" s="57" t="s">
        <v>99</v>
      </c>
      <c r="C326" s="57" t="s">
        <v>1201</v>
      </c>
      <c r="D326" s="57" t="s">
        <v>1202</v>
      </c>
      <c r="E326" s="57" t="s">
        <v>1203</v>
      </c>
      <c r="F326" s="58">
        <v>120000.0</v>
      </c>
      <c r="G326" s="57" t="s">
        <v>251</v>
      </c>
      <c r="H326" s="59" t="s">
        <v>252</v>
      </c>
      <c r="I326" s="60" t="s">
        <v>253</v>
      </c>
      <c r="J326" s="61"/>
      <c r="K326" s="61"/>
      <c r="L326" s="42"/>
      <c r="M326" s="42"/>
      <c r="N326" s="42"/>
      <c r="O326" s="42"/>
      <c r="P326" s="42"/>
      <c r="Q326" s="42"/>
      <c r="R326" s="42"/>
      <c r="S326" s="42"/>
      <c r="T326" s="42"/>
      <c r="U326" s="42"/>
      <c r="V326" s="42"/>
      <c r="W326" s="42"/>
      <c r="X326" s="42"/>
      <c r="Y326" s="42"/>
      <c r="Z326" s="42"/>
    </row>
    <row r="327" ht="57.0" customHeight="1">
      <c r="A327" s="57" t="s">
        <v>247</v>
      </c>
      <c r="B327" s="57" t="s">
        <v>99</v>
      </c>
      <c r="C327" s="57" t="s">
        <v>1204</v>
      </c>
      <c r="D327" s="57" t="s">
        <v>1205</v>
      </c>
      <c r="E327" s="57" t="s">
        <v>1206</v>
      </c>
      <c r="F327" s="58">
        <v>350000.0</v>
      </c>
      <c r="G327" s="57" t="s">
        <v>251</v>
      </c>
      <c r="H327" s="59" t="s">
        <v>252</v>
      </c>
      <c r="I327" s="60" t="s">
        <v>253</v>
      </c>
      <c r="J327" s="61"/>
      <c r="K327" s="61"/>
      <c r="L327" s="42"/>
      <c r="M327" s="42"/>
      <c r="N327" s="42"/>
      <c r="O327" s="42"/>
      <c r="P327" s="42"/>
      <c r="Q327" s="42"/>
      <c r="R327" s="42"/>
      <c r="S327" s="42"/>
      <c r="T327" s="42"/>
      <c r="U327" s="42"/>
      <c r="V327" s="42"/>
      <c r="W327" s="42"/>
      <c r="X327" s="42"/>
      <c r="Y327" s="42"/>
      <c r="Z327" s="42"/>
    </row>
    <row r="328" ht="57.0" customHeight="1">
      <c r="A328" s="57" t="s">
        <v>247</v>
      </c>
      <c r="B328" s="57" t="s">
        <v>99</v>
      </c>
      <c r="C328" s="57" t="s">
        <v>1207</v>
      </c>
      <c r="D328" s="57" t="s">
        <v>1208</v>
      </c>
      <c r="E328" s="57" t="s">
        <v>1209</v>
      </c>
      <c r="F328" s="58">
        <v>500000.0</v>
      </c>
      <c r="G328" s="57" t="s">
        <v>251</v>
      </c>
      <c r="H328" s="59" t="s">
        <v>252</v>
      </c>
      <c r="I328" s="60" t="s">
        <v>253</v>
      </c>
      <c r="J328" s="61"/>
      <c r="K328" s="61"/>
      <c r="L328" s="42"/>
      <c r="M328" s="42"/>
      <c r="N328" s="42"/>
      <c r="O328" s="42"/>
      <c r="P328" s="42"/>
      <c r="Q328" s="42"/>
      <c r="R328" s="42"/>
      <c r="S328" s="42"/>
      <c r="T328" s="42"/>
      <c r="U328" s="42"/>
      <c r="V328" s="42"/>
      <c r="W328" s="42"/>
      <c r="X328" s="42"/>
      <c r="Y328" s="42"/>
      <c r="Z328" s="42"/>
    </row>
    <row r="329" ht="57.0" customHeight="1">
      <c r="A329" s="57" t="s">
        <v>247</v>
      </c>
      <c r="B329" s="57" t="s">
        <v>99</v>
      </c>
      <c r="C329" s="57" t="s">
        <v>1210</v>
      </c>
      <c r="D329" s="57" t="s">
        <v>1211</v>
      </c>
      <c r="E329" s="57" t="s">
        <v>1212</v>
      </c>
      <c r="F329" s="58">
        <v>700000.0</v>
      </c>
      <c r="G329" s="57" t="s">
        <v>251</v>
      </c>
      <c r="H329" s="59" t="s">
        <v>252</v>
      </c>
      <c r="I329" s="60" t="s">
        <v>253</v>
      </c>
      <c r="J329" s="61"/>
      <c r="K329" s="61"/>
      <c r="L329" s="42"/>
      <c r="M329" s="42"/>
      <c r="N329" s="42"/>
      <c r="O329" s="42"/>
      <c r="P329" s="42"/>
      <c r="Q329" s="42"/>
      <c r="R329" s="42"/>
      <c r="S329" s="42"/>
      <c r="T329" s="42"/>
      <c r="U329" s="42"/>
      <c r="V329" s="42"/>
      <c r="W329" s="42"/>
      <c r="X329" s="42"/>
      <c r="Y329" s="42"/>
      <c r="Z329" s="42"/>
    </row>
    <row r="330" ht="57.0" customHeight="1">
      <c r="A330" s="57" t="s">
        <v>247</v>
      </c>
      <c r="B330" s="57" t="s">
        <v>99</v>
      </c>
      <c r="C330" s="57" t="s">
        <v>1213</v>
      </c>
      <c r="D330" s="57" t="s">
        <v>1214</v>
      </c>
      <c r="E330" s="57" t="s">
        <v>1215</v>
      </c>
      <c r="F330" s="58">
        <v>1600000.0</v>
      </c>
      <c r="G330" s="57" t="s">
        <v>251</v>
      </c>
      <c r="H330" s="59" t="s">
        <v>252</v>
      </c>
      <c r="I330" s="60" t="s">
        <v>253</v>
      </c>
      <c r="J330" s="61"/>
      <c r="K330" s="61"/>
      <c r="L330" s="42"/>
      <c r="M330" s="42"/>
      <c r="N330" s="42"/>
      <c r="O330" s="42"/>
      <c r="P330" s="42"/>
      <c r="Q330" s="42"/>
      <c r="R330" s="42"/>
      <c r="S330" s="42"/>
      <c r="T330" s="42"/>
      <c r="U330" s="42"/>
      <c r="V330" s="42"/>
      <c r="W330" s="42"/>
      <c r="X330" s="42"/>
      <c r="Y330" s="42"/>
      <c r="Z330" s="42"/>
    </row>
    <row r="331" ht="57.0" customHeight="1">
      <c r="A331" s="57" t="s">
        <v>247</v>
      </c>
      <c r="B331" s="57" t="s">
        <v>99</v>
      </c>
      <c r="C331" s="57" t="s">
        <v>1216</v>
      </c>
      <c r="D331" s="57" t="s">
        <v>1217</v>
      </c>
      <c r="E331" s="57" t="s">
        <v>1218</v>
      </c>
      <c r="F331" s="58">
        <v>1600000.0</v>
      </c>
      <c r="G331" s="57" t="s">
        <v>251</v>
      </c>
      <c r="H331" s="59" t="s">
        <v>252</v>
      </c>
      <c r="I331" s="60" t="s">
        <v>253</v>
      </c>
      <c r="J331" s="61"/>
      <c r="K331" s="61"/>
      <c r="L331" s="42"/>
      <c r="M331" s="42"/>
      <c r="N331" s="42"/>
      <c r="O331" s="42"/>
      <c r="P331" s="42"/>
      <c r="Q331" s="42"/>
      <c r="R331" s="42"/>
      <c r="S331" s="42"/>
      <c r="T331" s="42"/>
      <c r="U331" s="42"/>
      <c r="V331" s="42"/>
      <c r="W331" s="42"/>
      <c r="X331" s="42"/>
      <c r="Y331" s="42"/>
      <c r="Z331" s="42"/>
    </row>
    <row r="332" ht="57.0" customHeight="1">
      <c r="A332" s="57" t="s">
        <v>247</v>
      </c>
      <c r="B332" s="57" t="s">
        <v>99</v>
      </c>
      <c r="C332" s="57" t="s">
        <v>1219</v>
      </c>
      <c r="D332" s="57" t="s">
        <v>1220</v>
      </c>
      <c r="E332" s="57" t="s">
        <v>1221</v>
      </c>
      <c r="F332" s="58">
        <v>1200000.0</v>
      </c>
      <c r="G332" s="57" t="s">
        <v>251</v>
      </c>
      <c r="H332" s="59" t="s">
        <v>252</v>
      </c>
      <c r="I332" s="59" t="s">
        <v>472</v>
      </c>
      <c r="J332" s="61"/>
      <c r="K332" s="61"/>
      <c r="L332" s="42"/>
      <c r="M332" s="42"/>
      <c r="N332" s="42"/>
      <c r="O332" s="42"/>
      <c r="P332" s="42"/>
      <c r="Q332" s="42"/>
      <c r="R332" s="42"/>
      <c r="S332" s="42"/>
      <c r="T332" s="42"/>
      <c r="U332" s="42"/>
      <c r="V332" s="42"/>
      <c r="W332" s="42"/>
      <c r="X332" s="42"/>
      <c r="Y332" s="42"/>
      <c r="Z332" s="42"/>
    </row>
    <row r="333" ht="57.0" customHeight="1">
      <c r="A333" s="57" t="s">
        <v>247</v>
      </c>
      <c r="B333" s="57" t="s">
        <v>99</v>
      </c>
      <c r="C333" s="57" t="s">
        <v>1222</v>
      </c>
      <c r="D333" s="57" t="s">
        <v>1223</v>
      </c>
      <c r="E333" s="57" t="s">
        <v>1224</v>
      </c>
      <c r="F333" s="58">
        <v>1200000.0</v>
      </c>
      <c r="G333" s="57" t="s">
        <v>251</v>
      </c>
      <c r="H333" s="59" t="s">
        <v>252</v>
      </c>
      <c r="I333" s="59" t="s">
        <v>472</v>
      </c>
      <c r="J333" s="61"/>
      <c r="K333" s="61"/>
      <c r="L333" s="42"/>
      <c r="M333" s="42"/>
      <c r="N333" s="42"/>
      <c r="O333" s="42"/>
      <c r="P333" s="42"/>
      <c r="Q333" s="42"/>
      <c r="R333" s="42"/>
      <c r="S333" s="42"/>
      <c r="T333" s="42"/>
      <c r="U333" s="42"/>
      <c r="V333" s="42"/>
      <c r="W333" s="42"/>
      <c r="X333" s="42"/>
      <c r="Y333" s="42"/>
      <c r="Z333" s="42"/>
    </row>
    <row r="334" ht="30.75" customHeight="1">
      <c r="A334" s="52" t="s">
        <v>247</v>
      </c>
      <c r="B334" s="52" t="s">
        <v>102</v>
      </c>
      <c r="C334" s="52" t="s">
        <v>103</v>
      </c>
      <c r="D334" s="52" t="s">
        <v>1225</v>
      </c>
      <c r="E334" s="52"/>
      <c r="F334" s="62"/>
      <c r="G334" s="52"/>
      <c r="H334" s="63"/>
      <c r="I334" s="63"/>
      <c r="J334" s="54"/>
      <c r="K334" s="54"/>
      <c r="L334" s="56"/>
      <c r="M334" s="56"/>
      <c r="N334" s="56"/>
      <c r="O334" s="56"/>
      <c r="P334" s="56"/>
      <c r="Q334" s="56"/>
      <c r="R334" s="56"/>
      <c r="S334" s="56"/>
      <c r="T334" s="56"/>
      <c r="U334" s="56"/>
      <c r="V334" s="56"/>
      <c r="W334" s="56"/>
      <c r="X334" s="56"/>
      <c r="Y334" s="56"/>
      <c r="Z334" s="56"/>
    </row>
    <row r="335" ht="57.0" customHeight="1">
      <c r="A335" s="57" t="s">
        <v>247</v>
      </c>
      <c r="B335" s="57" t="s">
        <v>102</v>
      </c>
      <c r="C335" s="57" t="s">
        <v>1226</v>
      </c>
      <c r="D335" s="57" t="s">
        <v>1227</v>
      </c>
      <c r="E335" s="57" t="s">
        <v>1228</v>
      </c>
      <c r="F335" s="58">
        <v>700000.0</v>
      </c>
      <c r="G335" s="57" t="s">
        <v>251</v>
      </c>
      <c r="H335" s="59" t="s">
        <v>252</v>
      </c>
      <c r="I335" s="60" t="s">
        <v>253</v>
      </c>
      <c r="J335" s="61"/>
      <c r="K335" s="61"/>
      <c r="L335" s="42"/>
      <c r="M335" s="42"/>
      <c r="N335" s="42"/>
      <c r="O335" s="42"/>
      <c r="P335" s="42"/>
      <c r="Q335" s="42"/>
      <c r="R335" s="42"/>
      <c r="S335" s="42"/>
      <c r="T335" s="42"/>
      <c r="U335" s="42"/>
      <c r="V335" s="42"/>
      <c r="W335" s="42"/>
      <c r="X335" s="42"/>
      <c r="Y335" s="42"/>
      <c r="Z335" s="42"/>
    </row>
    <row r="336" ht="30.75" customHeight="1">
      <c r="A336" s="57" t="s">
        <v>247</v>
      </c>
      <c r="B336" s="57" t="s">
        <v>102</v>
      </c>
      <c r="C336" s="57" t="s">
        <v>1229</v>
      </c>
      <c r="D336" s="57" t="s">
        <v>1230</v>
      </c>
      <c r="E336" s="57" t="s">
        <v>1231</v>
      </c>
      <c r="F336" s="58">
        <v>1600000.0</v>
      </c>
      <c r="G336" s="57" t="s">
        <v>251</v>
      </c>
      <c r="H336" s="59" t="s">
        <v>252</v>
      </c>
      <c r="I336" s="60" t="s">
        <v>472</v>
      </c>
      <c r="J336" s="61"/>
      <c r="K336" s="61"/>
      <c r="L336" s="42"/>
      <c r="M336" s="42"/>
      <c r="N336" s="42"/>
      <c r="O336" s="42"/>
      <c r="P336" s="42"/>
      <c r="Q336" s="42"/>
      <c r="R336" s="42"/>
      <c r="S336" s="42"/>
      <c r="T336" s="42"/>
      <c r="U336" s="42"/>
      <c r="V336" s="42"/>
      <c r="W336" s="42"/>
      <c r="X336" s="42"/>
      <c r="Y336" s="42"/>
      <c r="Z336" s="42"/>
    </row>
    <row r="337" ht="57.0" customHeight="1">
      <c r="A337" s="57" t="s">
        <v>247</v>
      </c>
      <c r="B337" s="57" t="s">
        <v>102</v>
      </c>
      <c r="C337" s="57" t="s">
        <v>1232</v>
      </c>
      <c r="D337" s="57" t="s">
        <v>1233</v>
      </c>
      <c r="E337" s="57" t="s">
        <v>1234</v>
      </c>
      <c r="F337" s="58">
        <v>450000.0</v>
      </c>
      <c r="G337" s="57" t="s">
        <v>251</v>
      </c>
      <c r="H337" s="59" t="s">
        <v>252</v>
      </c>
      <c r="I337" s="60" t="s">
        <v>253</v>
      </c>
      <c r="J337" s="61"/>
      <c r="K337" s="61"/>
      <c r="L337" s="42"/>
      <c r="M337" s="42"/>
      <c r="N337" s="42"/>
      <c r="O337" s="42"/>
      <c r="P337" s="42"/>
      <c r="Q337" s="42"/>
      <c r="R337" s="42"/>
      <c r="S337" s="42"/>
      <c r="T337" s="42"/>
      <c r="U337" s="42"/>
      <c r="V337" s="42"/>
      <c r="W337" s="42"/>
      <c r="X337" s="42"/>
      <c r="Y337" s="42"/>
      <c r="Z337" s="42"/>
    </row>
    <row r="338" ht="57.0" customHeight="1">
      <c r="A338" s="57" t="s">
        <v>247</v>
      </c>
      <c r="B338" s="57" t="s">
        <v>102</v>
      </c>
      <c r="C338" s="57" t="s">
        <v>1235</v>
      </c>
      <c r="D338" s="57" t="s">
        <v>1236</v>
      </c>
      <c r="E338" s="57" t="s">
        <v>1237</v>
      </c>
      <c r="F338" s="58">
        <v>800000.0</v>
      </c>
      <c r="G338" s="57" t="s">
        <v>251</v>
      </c>
      <c r="H338" s="59" t="s">
        <v>252</v>
      </c>
      <c r="I338" s="60" t="s">
        <v>253</v>
      </c>
      <c r="J338" s="61"/>
      <c r="K338" s="61"/>
      <c r="L338" s="42"/>
      <c r="M338" s="42"/>
      <c r="N338" s="42"/>
      <c r="O338" s="42"/>
      <c r="P338" s="42"/>
      <c r="Q338" s="42"/>
      <c r="R338" s="42"/>
      <c r="S338" s="42"/>
      <c r="T338" s="42"/>
      <c r="U338" s="42"/>
      <c r="V338" s="42"/>
      <c r="W338" s="42"/>
      <c r="X338" s="42"/>
      <c r="Y338" s="42"/>
      <c r="Z338" s="42"/>
    </row>
    <row r="339" ht="57.0" customHeight="1">
      <c r="A339" s="57" t="s">
        <v>247</v>
      </c>
      <c r="B339" s="57" t="s">
        <v>102</v>
      </c>
      <c r="C339" s="57" t="s">
        <v>1238</v>
      </c>
      <c r="D339" s="57" t="s">
        <v>1239</v>
      </c>
      <c r="E339" s="57" t="s">
        <v>1240</v>
      </c>
      <c r="F339" s="58">
        <v>1200000.0</v>
      </c>
      <c r="G339" s="57" t="s">
        <v>251</v>
      </c>
      <c r="H339" s="59" t="s">
        <v>252</v>
      </c>
      <c r="I339" s="60" t="s">
        <v>253</v>
      </c>
      <c r="J339" s="61"/>
      <c r="K339" s="61"/>
      <c r="L339" s="42"/>
      <c r="M339" s="42"/>
      <c r="N339" s="42"/>
      <c r="O339" s="42"/>
      <c r="P339" s="42"/>
      <c r="Q339" s="42"/>
      <c r="R339" s="42"/>
      <c r="S339" s="42"/>
      <c r="T339" s="42"/>
      <c r="U339" s="42"/>
      <c r="V339" s="42"/>
      <c r="W339" s="42"/>
      <c r="X339" s="42"/>
      <c r="Y339" s="42"/>
      <c r="Z339" s="42"/>
    </row>
    <row r="340" ht="57.0" customHeight="1">
      <c r="A340" s="57" t="s">
        <v>247</v>
      </c>
      <c r="B340" s="57" t="s">
        <v>102</v>
      </c>
      <c r="C340" s="57" t="s">
        <v>1241</v>
      </c>
      <c r="D340" s="57" t="s">
        <v>1242</v>
      </c>
      <c r="E340" s="57" t="s">
        <v>1243</v>
      </c>
      <c r="F340" s="58">
        <v>450000.0</v>
      </c>
      <c r="G340" s="57" t="s">
        <v>251</v>
      </c>
      <c r="H340" s="59" t="s">
        <v>252</v>
      </c>
      <c r="I340" s="60" t="s">
        <v>253</v>
      </c>
      <c r="J340" s="61"/>
      <c r="K340" s="61"/>
      <c r="L340" s="42"/>
      <c r="M340" s="42"/>
      <c r="N340" s="42"/>
      <c r="O340" s="42"/>
      <c r="P340" s="42"/>
      <c r="Q340" s="42"/>
      <c r="R340" s="42"/>
      <c r="S340" s="42"/>
      <c r="T340" s="42"/>
      <c r="U340" s="42"/>
      <c r="V340" s="42"/>
      <c r="W340" s="42"/>
      <c r="X340" s="42"/>
      <c r="Y340" s="42"/>
      <c r="Z340" s="42"/>
    </row>
    <row r="341" ht="30.75" customHeight="1">
      <c r="A341" s="57" t="s">
        <v>247</v>
      </c>
      <c r="B341" s="57" t="s">
        <v>102</v>
      </c>
      <c r="C341" s="57" t="s">
        <v>1244</v>
      </c>
      <c r="D341" s="57" t="s">
        <v>1245</v>
      </c>
      <c r="E341" s="57" t="s">
        <v>1246</v>
      </c>
      <c r="F341" s="58">
        <v>200000.0</v>
      </c>
      <c r="G341" s="57" t="s">
        <v>251</v>
      </c>
      <c r="H341" s="59" t="s">
        <v>252</v>
      </c>
      <c r="I341" s="60" t="s">
        <v>253</v>
      </c>
      <c r="J341" s="61"/>
      <c r="K341" s="61"/>
      <c r="L341" s="42"/>
      <c r="M341" s="42"/>
      <c r="N341" s="42"/>
      <c r="O341" s="42"/>
      <c r="P341" s="42"/>
      <c r="Q341" s="42"/>
      <c r="R341" s="42"/>
      <c r="S341" s="42"/>
      <c r="T341" s="42"/>
      <c r="U341" s="42"/>
      <c r="V341" s="42"/>
      <c r="W341" s="42"/>
      <c r="X341" s="42"/>
      <c r="Y341" s="42"/>
      <c r="Z341" s="42"/>
    </row>
    <row r="342" ht="30.75" customHeight="1">
      <c r="A342" s="57" t="s">
        <v>247</v>
      </c>
      <c r="B342" s="57" t="s">
        <v>102</v>
      </c>
      <c r="C342" s="57" t="s">
        <v>1247</v>
      </c>
      <c r="D342" s="57" t="s">
        <v>1248</v>
      </c>
      <c r="E342" s="57" t="s">
        <v>1249</v>
      </c>
      <c r="F342" s="58">
        <v>160000.0</v>
      </c>
      <c r="G342" s="57" t="s">
        <v>251</v>
      </c>
      <c r="H342" s="59" t="s">
        <v>252</v>
      </c>
      <c r="I342" s="60" t="s">
        <v>253</v>
      </c>
      <c r="J342" s="61"/>
      <c r="K342" s="61"/>
      <c r="L342" s="42"/>
      <c r="M342" s="42"/>
      <c r="N342" s="42"/>
      <c r="O342" s="42"/>
      <c r="P342" s="42"/>
      <c r="Q342" s="42"/>
      <c r="R342" s="42"/>
      <c r="S342" s="42"/>
      <c r="T342" s="42"/>
      <c r="U342" s="42"/>
      <c r="V342" s="42"/>
      <c r="W342" s="42"/>
      <c r="X342" s="42"/>
      <c r="Y342" s="42"/>
      <c r="Z342" s="42"/>
    </row>
    <row r="343" ht="57.0" customHeight="1">
      <c r="A343" s="57" t="s">
        <v>247</v>
      </c>
      <c r="B343" s="57" t="s">
        <v>102</v>
      </c>
      <c r="C343" s="57" t="s">
        <v>1250</v>
      </c>
      <c r="D343" s="57" t="s">
        <v>1251</v>
      </c>
      <c r="E343" s="57" t="s">
        <v>1252</v>
      </c>
      <c r="F343" s="58">
        <v>2000000.0</v>
      </c>
      <c r="G343" s="57" t="s">
        <v>251</v>
      </c>
      <c r="H343" s="59" t="s">
        <v>252</v>
      </c>
      <c r="I343" s="60" t="s">
        <v>253</v>
      </c>
      <c r="J343" s="61"/>
      <c r="K343" s="61"/>
      <c r="L343" s="42"/>
      <c r="M343" s="42"/>
      <c r="N343" s="42"/>
      <c r="O343" s="42"/>
      <c r="P343" s="42"/>
      <c r="Q343" s="42"/>
      <c r="R343" s="42"/>
      <c r="S343" s="42"/>
      <c r="T343" s="42"/>
      <c r="U343" s="42"/>
      <c r="V343" s="42"/>
      <c r="W343" s="42"/>
      <c r="X343" s="42"/>
      <c r="Y343" s="42"/>
      <c r="Z343" s="42"/>
    </row>
    <row r="344" ht="57.0" customHeight="1">
      <c r="A344" s="57" t="s">
        <v>247</v>
      </c>
      <c r="B344" s="57" t="s">
        <v>102</v>
      </c>
      <c r="C344" s="57" t="s">
        <v>1253</v>
      </c>
      <c r="D344" s="57" t="s">
        <v>1254</v>
      </c>
      <c r="E344" s="57" t="s">
        <v>1255</v>
      </c>
      <c r="F344" s="58">
        <v>25000.0</v>
      </c>
      <c r="G344" s="57" t="s">
        <v>251</v>
      </c>
      <c r="H344" s="59" t="s">
        <v>252</v>
      </c>
      <c r="I344" s="60" t="s">
        <v>253</v>
      </c>
      <c r="J344" s="61"/>
      <c r="K344" s="61"/>
      <c r="L344" s="42"/>
      <c r="M344" s="42"/>
      <c r="N344" s="42"/>
      <c r="O344" s="42"/>
      <c r="P344" s="42"/>
      <c r="Q344" s="42"/>
      <c r="R344" s="42"/>
      <c r="S344" s="42"/>
      <c r="T344" s="42"/>
      <c r="U344" s="42"/>
      <c r="V344" s="42"/>
      <c r="W344" s="42"/>
      <c r="X344" s="42"/>
      <c r="Y344" s="42"/>
      <c r="Z344" s="42"/>
    </row>
    <row r="345" ht="57.0" customHeight="1">
      <c r="A345" s="57" t="s">
        <v>247</v>
      </c>
      <c r="B345" s="57" t="s">
        <v>102</v>
      </c>
      <c r="C345" s="57" t="s">
        <v>1256</v>
      </c>
      <c r="D345" s="57" t="s">
        <v>1257</v>
      </c>
      <c r="E345" s="57" t="s">
        <v>1258</v>
      </c>
      <c r="F345" s="58">
        <v>40000.0</v>
      </c>
      <c r="G345" s="57" t="s">
        <v>251</v>
      </c>
      <c r="H345" s="59" t="s">
        <v>252</v>
      </c>
      <c r="I345" s="60" t="s">
        <v>253</v>
      </c>
      <c r="J345" s="61"/>
      <c r="K345" s="61"/>
      <c r="L345" s="42"/>
      <c r="M345" s="42"/>
      <c r="N345" s="42"/>
      <c r="O345" s="42"/>
      <c r="P345" s="42"/>
      <c r="Q345" s="42"/>
      <c r="R345" s="42"/>
      <c r="S345" s="42"/>
      <c r="T345" s="42"/>
      <c r="U345" s="42"/>
      <c r="V345" s="42"/>
      <c r="W345" s="42"/>
      <c r="X345" s="42"/>
      <c r="Y345" s="42"/>
      <c r="Z345" s="42"/>
    </row>
    <row r="346" ht="57.0" customHeight="1">
      <c r="A346" s="57" t="s">
        <v>247</v>
      </c>
      <c r="B346" s="57" t="s">
        <v>102</v>
      </c>
      <c r="C346" s="57" t="s">
        <v>1259</v>
      </c>
      <c r="D346" s="57" t="s">
        <v>1260</v>
      </c>
      <c r="E346" s="57" t="s">
        <v>1261</v>
      </c>
      <c r="F346" s="58">
        <v>250000.0</v>
      </c>
      <c r="G346" s="57" t="s">
        <v>251</v>
      </c>
      <c r="H346" s="59" t="s">
        <v>252</v>
      </c>
      <c r="I346" s="60" t="s">
        <v>253</v>
      </c>
      <c r="J346" s="61"/>
      <c r="K346" s="61"/>
      <c r="L346" s="42"/>
      <c r="M346" s="42"/>
      <c r="N346" s="42"/>
      <c r="O346" s="42"/>
      <c r="P346" s="42"/>
      <c r="Q346" s="42"/>
      <c r="R346" s="42"/>
      <c r="S346" s="42"/>
      <c r="T346" s="42"/>
      <c r="U346" s="42"/>
      <c r="V346" s="42"/>
      <c r="W346" s="42"/>
      <c r="X346" s="42"/>
      <c r="Y346" s="42"/>
      <c r="Z346" s="42"/>
    </row>
    <row r="347" ht="28.5" customHeight="1">
      <c r="A347" s="57" t="s">
        <v>247</v>
      </c>
      <c r="B347" s="57" t="s">
        <v>102</v>
      </c>
      <c r="C347" s="57" t="s">
        <v>1262</v>
      </c>
      <c r="D347" s="57" t="s">
        <v>1263</v>
      </c>
      <c r="E347" s="57" t="s">
        <v>1264</v>
      </c>
      <c r="F347" s="58">
        <v>100000.0</v>
      </c>
      <c r="G347" s="57" t="s">
        <v>467</v>
      </c>
      <c r="H347" s="59" t="s">
        <v>252</v>
      </c>
      <c r="I347" s="59" t="s">
        <v>472</v>
      </c>
      <c r="J347" s="61"/>
      <c r="K347" s="61"/>
      <c r="L347" s="42"/>
      <c r="M347" s="42"/>
      <c r="N347" s="42"/>
      <c r="O347" s="42"/>
      <c r="P347" s="42"/>
      <c r="Q347" s="42"/>
      <c r="R347" s="42"/>
      <c r="S347" s="42"/>
      <c r="T347" s="42"/>
      <c r="U347" s="42"/>
      <c r="V347" s="42"/>
      <c r="W347" s="42"/>
      <c r="X347" s="42"/>
      <c r="Y347" s="42"/>
      <c r="Z347" s="42"/>
    </row>
    <row r="348" ht="30.75" customHeight="1">
      <c r="A348" s="52" t="s">
        <v>247</v>
      </c>
      <c r="B348" s="52" t="s">
        <v>105</v>
      </c>
      <c r="C348" s="52" t="s">
        <v>106</v>
      </c>
      <c r="D348" s="52" t="s">
        <v>107</v>
      </c>
      <c r="E348" s="52"/>
      <c r="F348" s="62"/>
      <c r="G348" s="52"/>
      <c r="H348" s="63"/>
      <c r="I348" s="63"/>
      <c r="J348" s="54"/>
      <c r="K348" s="54"/>
      <c r="L348" s="56"/>
      <c r="M348" s="56"/>
      <c r="N348" s="56"/>
      <c r="O348" s="56"/>
      <c r="P348" s="56"/>
      <c r="Q348" s="56"/>
      <c r="R348" s="56"/>
      <c r="S348" s="56"/>
      <c r="T348" s="56"/>
      <c r="U348" s="56"/>
      <c r="V348" s="56"/>
      <c r="W348" s="56"/>
      <c r="X348" s="56"/>
      <c r="Y348" s="56"/>
      <c r="Z348" s="56"/>
    </row>
    <row r="349" ht="57.0" customHeight="1">
      <c r="A349" s="57" t="s">
        <v>247</v>
      </c>
      <c r="B349" s="57" t="s">
        <v>105</v>
      </c>
      <c r="C349" s="57" t="s">
        <v>1265</v>
      </c>
      <c r="D349" s="57" t="s">
        <v>1266</v>
      </c>
      <c r="E349" s="57" t="s">
        <v>1267</v>
      </c>
      <c r="F349" s="58">
        <v>80000.0</v>
      </c>
      <c r="G349" s="57" t="s">
        <v>251</v>
      </c>
      <c r="H349" s="59" t="s">
        <v>252</v>
      </c>
      <c r="I349" s="60" t="s">
        <v>472</v>
      </c>
      <c r="J349" s="61"/>
      <c r="K349" s="61"/>
      <c r="L349" s="42"/>
      <c r="M349" s="42"/>
      <c r="N349" s="42"/>
      <c r="O349" s="42"/>
      <c r="P349" s="42"/>
      <c r="Q349" s="42"/>
      <c r="R349" s="42"/>
      <c r="S349" s="42"/>
      <c r="T349" s="42"/>
      <c r="U349" s="42"/>
      <c r="V349" s="42"/>
      <c r="W349" s="42"/>
      <c r="X349" s="42"/>
      <c r="Y349" s="42"/>
      <c r="Z349" s="42"/>
    </row>
    <row r="350" ht="30.75" customHeight="1">
      <c r="A350" s="57" t="s">
        <v>247</v>
      </c>
      <c r="B350" s="57" t="s">
        <v>105</v>
      </c>
      <c r="C350" s="57" t="s">
        <v>1268</v>
      </c>
      <c r="D350" s="57" t="s">
        <v>1269</v>
      </c>
      <c r="E350" s="57" t="s">
        <v>1270</v>
      </c>
      <c r="F350" s="58">
        <v>1000000.0</v>
      </c>
      <c r="G350" s="57" t="s">
        <v>251</v>
      </c>
      <c r="H350" s="59" t="s">
        <v>252</v>
      </c>
      <c r="I350" s="60" t="s">
        <v>472</v>
      </c>
      <c r="J350" s="61"/>
      <c r="K350" s="61"/>
      <c r="L350" s="42"/>
      <c r="M350" s="42"/>
      <c r="N350" s="42"/>
      <c r="O350" s="42"/>
      <c r="P350" s="42"/>
      <c r="Q350" s="42"/>
      <c r="R350" s="42"/>
      <c r="S350" s="42"/>
      <c r="T350" s="42"/>
      <c r="U350" s="42"/>
      <c r="V350" s="42"/>
      <c r="W350" s="42"/>
      <c r="X350" s="42"/>
      <c r="Y350" s="42"/>
      <c r="Z350" s="42"/>
    </row>
    <row r="351" ht="30.75" customHeight="1">
      <c r="A351" s="57" t="s">
        <v>247</v>
      </c>
      <c r="B351" s="57" t="s">
        <v>105</v>
      </c>
      <c r="C351" s="57" t="s">
        <v>1271</v>
      </c>
      <c r="D351" s="57" t="s">
        <v>1272</v>
      </c>
      <c r="E351" s="57" t="s">
        <v>1273</v>
      </c>
      <c r="F351" s="58">
        <v>2000000.0</v>
      </c>
      <c r="G351" s="57" t="s">
        <v>251</v>
      </c>
      <c r="H351" s="59" t="s">
        <v>252</v>
      </c>
      <c r="I351" s="60" t="s">
        <v>253</v>
      </c>
      <c r="J351" s="61"/>
      <c r="K351" s="61"/>
      <c r="L351" s="42"/>
      <c r="M351" s="42"/>
      <c r="N351" s="42"/>
      <c r="O351" s="42"/>
      <c r="P351" s="42"/>
      <c r="Q351" s="42"/>
      <c r="R351" s="42"/>
      <c r="S351" s="42"/>
      <c r="T351" s="42"/>
      <c r="U351" s="42"/>
      <c r="V351" s="42"/>
      <c r="W351" s="42"/>
      <c r="X351" s="42"/>
      <c r="Y351" s="42"/>
      <c r="Z351" s="42"/>
    </row>
    <row r="352" ht="30.75" customHeight="1">
      <c r="A352" s="57" t="s">
        <v>247</v>
      </c>
      <c r="B352" s="57" t="s">
        <v>105</v>
      </c>
      <c r="C352" s="57" t="s">
        <v>1274</v>
      </c>
      <c r="D352" s="57" t="s">
        <v>1275</v>
      </c>
      <c r="E352" s="57" t="s">
        <v>1276</v>
      </c>
      <c r="F352" s="58">
        <v>1200000.0</v>
      </c>
      <c r="G352" s="57" t="s">
        <v>251</v>
      </c>
      <c r="H352" s="59" t="s">
        <v>252</v>
      </c>
      <c r="I352" s="60" t="s">
        <v>253</v>
      </c>
      <c r="J352" s="61"/>
      <c r="K352" s="61"/>
      <c r="L352" s="42"/>
      <c r="M352" s="42"/>
      <c r="N352" s="42"/>
      <c r="O352" s="42"/>
      <c r="P352" s="42"/>
      <c r="Q352" s="42"/>
      <c r="R352" s="42"/>
      <c r="S352" s="42"/>
      <c r="T352" s="42"/>
      <c r="U352" s="42"/>
      <c r="V352" s="42"/>
      <c r="W352" s="42"/>
      <c r="X352" s="42"/>
      <c r="Y352" s="42"/>
      <c r="Z352" s="42"/>
    </row>
    <row r="353" ht="85.5" customHeight="1">
      <c r="A353" s="57" t="s">
        <v>247</v>
      </c>
      <c r="B353" s="57" t="s">
        <v>105</v>
      </c>
      <c r="C353" s="57" t="s">
        <v>1277</v>
      </c>
      <c r="D353" s="57" t="s">
        <v>1278</v>
      </c>
      <c r="E353" s="57" t="s">
        <v>1279</v>
      </c>
      <c r="F353" s="58">
        <v>3700000.0</v>
      </c>
      <c r="G353" s="57" t="s">
        <v>251</v>
      </c>
      <c r="H353" s="59" t="s">
        <v>252</v>
      </c>
      <c r="I353" s="60" t="s">
        <v>253</v>
      </c>
      <c r="J353" s="61"/>
      <c r="K353" s="61"/>
      <c r="L353" s="42"/>
      <c r="M353" s="42"/>
      <c r="N353" s="42"/>
      <c r="O353" s="42"/>
      <c r="P353" s="42"/>
      <c r="Q353" s="42"/>
      <c r="R353" s="42"/>
      <c r="S353" s="42"/>
      <c r="T353" s="42"/>
      <c r="U353" s="42"/>
      <c r="V353" s="42"/>
      <c r="W353" s="42"/>
      <c r="X353" s="42"/>
      <c r="Y353" s="42"/>
      <c r="Z353" s="42"/>
    </row>
    <row r="354" ht="57.0" customHeight="1">
      <c r="A354" s="57" t="s">
        <v>247</v>
      </c>
      <c r="B354" s="57" t="s">
        <v>105</v>
      </c>
      <c r="C354" s="57" t="s">
        <v>1280</v>
      </c>
      <c r="D354" s="57" t="s">
        <v>1281</v>
      </c>
      <c r="E354" s="57" t="s">
        <v>1282</v>
      </c>
      <c r="F354" s="58">
        <v>124000.0</v>
      </c>
      <c r="G354" s="57" t="s">
        <v>664</v>
      </c>
      <c r="H354" s="59" t="s">
        <v>252</v>
      </c>
      <c r="I354" s="60" t="s">
        <v>253</v>
      </c>
      <c r="J354" s="61"/>
      <c r="K354" s="61"/>
      <c r="L354" s="42"/>
      <c r="M354" s="42"/>
      <c r="N354" s="42"/>
      <c r="O354" s="42"/>
      <c r="P354" s="42"/>
      <c r="Q354" s="42"/>
      <c r="R354" s="42"/>
      <c r="S354" s="42"/>
      <c r="T354" s="42"/>
      <c r="U354" s="42"/>
      <c r="V354" s="42"/>
      <c r="W354" s="42"/>
      <c r="X354" s="42"/>
      <c r="Y354" s="42"/>
      <c r="Z354" s="42"/>
    </row>
    <row r="355" ht="57.0" customHeight="1">
      <c r="A355" s="57" t="s">
        <v>247</v>
      </c>
      <c r="B355" s="57" t="s">
        <v>105</v>
      </c>
      <c r="C355" s="57" t="s">
        <v>1283</v>
      </c>
      <c r="D355" s="57" t="s">
        <v>1284</v>
      </c>
      <c r="E355" s="57" t="s">
        <v>1285</v>
      </c>
      <c r="F355" s="58">
        <v>300000.0</v>
      </c>
      <c r="G355" s="57" t="s">
        <v>664</v>
      </c>
      <c r="H355" s="59" t="s">
        <v>252</v>
      </c>
      <c r="I355" s="60" t="s">
        <v>472</v>
      </c>
      <c r="J355" s="61"/>
      <c r="K355" s="61"/>
      <c r="L355" s="42"/>
      <c r="M355" s="42"/>
      <c r="N355" s="42"/>
      <c r="O355" s="42"/>
      <c r="P355" s="42"/>
      <c r="Q355" s="42"/>
      <c r="R355" s="42"/>
      <c r="S355" s="42"/>
      <c r="T355" s="42"/>
      <c r="U355" s="42"/>
      <c r="V355" s="42"/>
      <c r="W355" s="42"/>
      <c r="X355" s="42"/>
      <c r="Y355" s="42"/>
      <c r="Z355" s="42"/>
    </row>
    <row r="356" ht="57.0" customHeight="1">
      <c r="A356" s="57" t="s">
        <v>247</v>
      </c>
      <c r="B356" s="57" t="s">
        <v>105</v>
      </c>
      <c r="C356" s="57" t="s">
        <v>1286</v>
      </c>
      <c r="D356" s="57" t="s">
        <v>1287</v>
      </c>
      <c r="E356" s="57" t="s">
        <v>1288</v>
      </c>
      <c r="F356" s="58">
        <v>50000.0</v>
      </c>
      <c r="G356" s="57" t="s">
        <v>1289</v>
      </c>
      <c r="H356" s="59" t="s">
        <v>252</v>
      </c>
      <c r="I356" s="60" t="s">
        <v>253</v>
      </c>
      <c r="J356" s="61"/>
      <c r="K356" s="61"/>
      <c r="L356" s="42"/>
      <c r="M356" s="42"/>
      <c r="N356" s="42"/>
      <c r="O356" s="42"/>
      <c r="P356" s="42"/>
      <c r="Q356" s="42"/>
      <c r="R356" s="42"/>
      <c r="S356" s="42"/>
      <c r="T356" s="42"/>
      <c r="U356" s="42"/>
      <c r="V356" s="42"/>
      <c r="W356" s="42"/>
      <c r="X356" s="42"/>
      <c r="Y356" s="42"/>
      <c r="Z356" s="42"/>
    </row>
    <row r="357" ht="57.0" customHeight="1">
      <c r="A357" s="57" t="s">
        <v>247</v>
      </c>
      <c r="B357" s="57" t="s">
        <v>105</v>
      </c>
      <c r="C357" s="57" t="s">
        <v>1290</v>
      </c>
      <c r="D357" s="57" t="s">
        <v>1291</v>
      </c>
      <c r="E357" s="57" t="s">
        <v>1292</v>
      </c>
      <c r="F357" s="66">
        <v>300000.0</v>
      </c>
      <c r="G357" s="59" t="s">
        <v>251</v>
      </c>
      <c r="H357" s="59" t="s">
        <v>252</v>
      </c>
      <c r="I357" s="60" t="s">
        <v>468</v>
      </c>
      <c r="J357" s="61"/>
      <c r="K357" s="61"/>
      <c r="L357" s="42"/>
      <c r="M357" s="42"/>
      <c r="N357" s="42"/>
      <c r="O357" s="42"/>
      <c r="P357" s="42"/>
      <c r="Q357" s="42"/>
      <c r="R357" s="42"/>
      <c r="S357" s="42"/>
      <c r="T357" s="42"/>
      <c r="U357" s="42"/>
      <c r="V357" s="42"/>
      <c r="W357" s="42"/>
      <c r="X357" s="42"/>
      <c r="Y357" s="42"/>
      <c r="Z357" s="42"/>
    </row>
    <row r="358" ht="57.0" customHeight="1">
      <c r="A358" s="57" t="s">
        <v>247</v>
      </c>
      <c r="B358" s="57" t="s">
        <v>105</v>
      </c>
      <c r="C358" s="57" t="s">
        <v>1293</v>
      </c>
      <c r="D358" s="57" t="s">
        <v>1294</v>
      </c>
      <c r="E358" s="57" t="s">
        <v>1295</v>
      </c>
      <c r="F358" s="66">
        <v>500000.0</v>
      </c>
      <c r="G358" s="59" t="s">
        <v>251</v>
      </c>
      <c r="H358" s="59" t="s">
        <v>252</v>
      </c>
      <c r="I358" s="60" t="s">
        <v>468</v>
      </c>
      <c r="J358" s="61"/>
      <c r="K358" s="61"/>
      <c r="L358" s="42"/>
      <c r="M358" s="42"/>
      <c r="N358" s="42"/>
      <c r="O358" s="42"/>
      <c r="P358" s="42"/>
      <c r="Q358" s="42"/>
      <c r="R358" s="42"/>
      <c r="S358" s="42"/>
      <c r="T358" s="42"/>
      <c r="U358" s="42"/>
      <c r="V358" s="42"/>
      <c r="W358" s="42"/>
      <c r="X358" s="42"/>
      <c r="Y358" s="42"/>
      <c r="Z358" s="42"/>
    </row>
    <row r="359" ht="57.0" customHeight="1">
      <c r="A359" s="57" t="s">
        <v>247</v>
      </c>
      <c r="B359" s="57" t="s">
        <v>105</v>
      </c>
      <c r="C359" s="57" t="s">
        <v>1296</v>
      </c>
      <c r="D359" s="57" t="s">
        <v>1297</v>
      </c>
      <c r="E359" s="57" t="s">
        <v>1298</v>
      </c>
      <c r="F359" s="58">
        <v>100000.0</v>
      </c>
      <c r="G359" s="57" t="s">
        <v>467</v>
      </c>
      <c r="H359" s="59" t="s">
        <v>252</v>
      </c>
      <c r="I359" s="60" t="s">
        <v>468</v>
      </c>
      <c r="J359" s="61"/>
      <c r="K359" s="61"/>
      <c r="L359" s="42"/>
      <c r="M359" s="42"/>
      <c r="N359" s="42"/>
      <c r="O359" s="42"/>
      <c r="P359" s="42"/>
      <c r="Q359" s="42"/>
      <c r="R359" s="42"/>
      <c r="S359" s="42"/>
      <c r="T359" s="42"/>
      <c r="U359" s="42"/>
      <c r="V359" s="42"/>
      <c r="W359" s="42"/>
      <c r="X359" s="42"/>
      <c r="Y359" s="42"/>
      <c r="Z359" s="42"/>
    </row>
    <row r="360" ht="57.0" customHeight="1">
      <c r="A360" s="57" t="s">
        <v>247</v>
      </c>
      <c r="B360" s="57" t="s">
        <v>105</v>
      </c>
      <c r="C360" s="57" t="s">
        <v>1299</v>
      </c>
      <c r="D360" s="57" t="s">
        <v>1300</v>
      </c>
      <c r="E360" s="57" t="s">
        <v>1301</v>
      </c>
      <c r="F360" s="58">
        <v>300000.0</v>
      </c>
      <c r="G360" s="57" t="s">
        <v>467</v>
      </c>
      <c r="H360" s="59" t="s">
        <v>252</v>
      </c>
      <c r="I360" s="60" t="s">
        <v>468</v>
      </c>
      <c r="J360" s="61"/>
      <c r="K360" s="61"/>
      <c r="L360" s="42"/>
      <c r="M360" s="42"/>
      <c r="N360" s="42"/>
      <c r="O360" s="42"/>
      <c r="P360" s="42"/>
      <c r="Q360" s="42"/>
      <c r="R360" s="42"/>
      <c r="S360" s="42"/>
      <c r="T360" s="42"/>
      <c r="U360" s="42"/>
      <c r="V360" s="42"/>
      <c r="W360" s="42"/>
      <c r="X360" s="42"/>
      <c r="Y360" s="42"/>
      <c r="Z360" s="42"/>
    </row>
    <row r="361" ht="57.0" customHeight="1">
      <c r="A361" s="57" t="s">
        <v>247</v>
      </c>
      <c r="B361" s="57" t="s">
        <v>105</v>
      </c>
      <c r="C361" s="57" t="s">
        <v>1302</v>
      </c>
      <c r="D361" s="57" t="s">
        <v>1303</v>
      </c>
      <c r="E361" s="57" t="s">
        <v>1304</v>
      </c>
      <c r="F361" s="66">
        <v>700000.0</v>
      </c>
      <c r="G361" s="59" t="s">
        <v>251</v>
      </c>
      <c r="H361" s="59" t="s">
        <v>252</v>
      </c>
      <c r="I361" s="60" t="s">
        <v>468</v>
      </c>
      <c r="J361" s="61"/>
      <c r="K361" s="61"/>
      <c r="L361" s="42"/>
      <c r="M361" s="42"/>
      <c r="N361" s="42"/>
      <c r="O361" s="42"/>
      <c r="P361" s="42"/>
      <c r="Q361" s="42"/>
      <c r="R361" s="42"/>
      <c r="S361" s="42"/>
      <c r="T361" s="42"/>
      <c r="U361" s="42"/>
      <c r="V361" s="42"/>
      <c r="W361" s="42"/>
      <c r="X361" s="42"/>
      <c r="Y361" s="42"/>
      <c r="Z361" s="42"/>
    </row>
    <row r="362" ht="57.0" customHeight="1">
      <c r="A362" s="57" t="s">
        <v>247</v>
      </c>
      <c r="B362" s="57" t="s">
        <v>105</v>
      </c>
      <c r="C362" s="57" t="s">
        <v>1305</v>
      </c>
      <c r="D362" s="57" t="s">
        <v>1306</v>
      </c>
      <c r="E362" s="57" t="s">
        <v>1307</v>
      </c>
      <c r="F362" s="66">
        <v>3900000.0</v>
      </c>
      <c r="G362" s="59" t="s">
        <v>467</v>
      </c>
      <c r="H362" s="59" t="s">
        <v>252</v>
      </c>
      <c r="I362" s="60" t="s">
        <v>468</v>
      </c>
      <c r="J362" s="61"/>
      <c r="K362" s="61"/>
      <c r="L362" s="42"/>
      <c r="M362" s="42"/>
      <c r="N362" s="42"/>
      <c r="O362" s="42"/>
      <c r="P362" s="42"/>
      <c r="Q362" s="42"/>
      <c r="R362" s="42"/>
      <c r="S362" s="42"/>
      <c r="T362" s="42"/>
      <c r="U362" s="42"/>
      <c r="V362" s="42"/>
      <c r="W362" s="42"/>
      <c r="X362" s="42"/>
      <c r="Y362" s="42"/>
      <c r="Z362" s="42"/>
    </row>
    <row r="363" ht="57.0" customHeight="1">
      <c r="A363" s="57" t="s">
        <v>247</v>
      </c>
      <c r="B363" s="57" t="s">
        <v>105</v>
      </c>
      <c r="C363" s="57" t="s">
        <v>1308</v>
      </c>
      <c r="D363" s="57" t="s">
        <v>1309</v>
      </c>
      <c r="E363" s="57" t="s">
        <v>1310</v>
      </c>
      <c r="F363" s="66">
        <v>3000000.0</v>
      </c>
      <c r="G363" s="59" t="s">
        <v>467</v>
      </c>
      <c r="H363" s="59" t="s">
        <v>252</v>
      </c>
      <c r="I363" s="60" t="s">
        <v>468</v>
      </c>
      <c r="J363" s="61"/>
      <c r="K363" s="61"/>
      <c r="L363" s="42"/>
      <c r="M363" s="42"/>
      <c r="N363" s="42"/>
      <c r="O363" s="42"/>
      <c r="P363" s="42"/>
      <c r="Q363" s="42"/>
      <c r="R363" s="42"/>
      <c r="S363" s="42"/>
      <c r="T363" s="42"/>
      <c r="U363" s="42"/>
      <c r="V363" s="42"/>
      <c r="W363" s="42"/>
      <c r="X363" s="42"/>
      <c r="Y363" s="42"/>
      <c r="Z363" s="42"/>
    </row>
    <row r="364" ht="57.0" customHeight="1">
      <c r="A364" s="57" t="s">
        <v>247</v>
      </c>
      <c r="B364" s="57" t="s">
        <v>105</v>
      </c>
      <c r="C364" s="57" t="s">
        <v>1311</v>
      </c>
      <c r="D364" s="57" t="s">
        <v>1312</v>
      </c>
      <c r="E364" s="57" t="s">
        <v>1313</v>
      </c>
      <c r="F364" s="66">
        <v>1.5E7</v>
      </c>
      <c r="G364" s="59" t="s">
        <v>467</v>
      </c>
      <c r="H364" s="59" t="s">
        <v>252</v>
      </c>
      <c r="I364" s="60" t="s">
        <v>468</v>
      </c>
      <c r="J364" s="61"/>
      <c r="K364" s="61"/>
      <c r="L364" s="42"/>
      <c r="M364" s="42"/>
      <c r="N364" s="42"/>
      <c r="O364" s="42"/>
      <c r="P364" s="42"/>
      <c r="Q364" s="42"/>
      <c r="R364" s="42"/>
      <c r="S364" s="42"/>
      <c r="T364" s="42"/>
      <c r="U364" s="42"/>
      <c r="V364" s="42"/>
      <c r="W364" s="42"/>
      <c r="X364" s="42"/>
      <c r="Y364" s="42"/>
      <c r="Z364" s="42"/>
    </row>
    <row r="365" ht="57.0" customHeight="1">
      <c r="A365" s="57" t="s">
        <v>247</v>
      </c>
      <c r="B365" s="57" t="s">
        <v>105</v>
      </c>
      <c r="C365" s="57" t="s">
        <v>1314</v>
      </c>
      <c r="D365" s="57" t="s">
        <v>1315</v>
      </c>
      <c r="E365" s="57" t="s">
        <v>1316</v>
      </c>
      <c r="F365" s="66">
        <v>400000.0</v>
      </c>
      <c r="G365" s="59" t="s">
        <v>251</v>
      </c>
      <c r="H365" s="59" t="s">
        <v>252</v>
      </c>
      <c r="I365" s="60" t="s">
        <v>468</v>
      </c>
      <c r="J365" s="61"/>
      <c r="K365" s="61"/>
      <c r="L365" s="42"/>
      <c r="M365" s="42"/>
      <c r="N365" s="42"/>
      <c r="O365" s="42"/>
      <c r="P365" s="42"/>
      <c r="Q365" s="42"/>
      <c r="R365" s="42"/>
      <c r="S365" s="42"/>
      <c r="T365" s="42"/>
      <c r="U365" s="42"/>
      <c r="V365" s="42"/>
      <c r="W365" s="42"/>
      <c r="X365" s="42"/>
      <c r="Y365" s="42"/>
      <c r="Z365" s="42"/>
    </row>
    <row r="366" ht="57.0" customHeight="1">
      <c r="A366" s="57" t="s">
        <v>247</v>
      </c>
      <c r="B366" s="57" t="s">
        <v>105</v>
      </c>
      <c r="C366" s="57" t="s">
        <v>1317</v>
      </c>
      <c r="D366" s="57" t="s">
        <v>1318</v>
      </c>
      <c r="E366" s="57" t="s">
        <v>1319</v>
      </c>
      <c r="F366" s="66">
        <v>8100000.0</v>
      </c>
      <c r="G366" s="59" t="s">
        <v>467</v>
      </c>
      <c r="H366" s="59" t="s">
        <v>252</v>
      </c>
      <c r="I366" s="60" t="s">
        <v>468</v>
      </c>
      <c r="J366" s="61"/>
      <c r="K366" s="61"/>
      <c r="L366" s="42"/>
      <c r="M366" s="42"/>
      <c r="N366" s="42"/>
      <c r="O366" s="42"/>
      <c r="P366" s="42"/>
      <c r="Q366" s="42"/>
      <c r="R366" s="42"/>
      <c r="S366" s="42"/>
      <c r="T366" s="42"/>
      <c r="U366" s="42"/>
      <c r="V366" s="42"/>
      <c r="W366" s="42"/>
      <c r="X366" s="42"/>
      <c r="Y366" s="42"/>
      <c r="Z366" s="42"/>
    </row>
    <row r="367" ht="57.0" customHeight="1">
      <c r="A367" s="57" t="s">
        <v>247</v>
      </c>
      <c r="B367" s="57" t="s">
        <v>105</v>
      </c>
      <c r="C367" s="57" t="s">
        <v>1320</v>
      </c>
      <c r="D367" s="57" t="s">
        <v>1321</v>
      </c>
      <c r="E367" s="57" t="s">
        <v>1322</v>
      </c>
      <c r="F367" s="66">
        <v>120000.0</v>
      </c>
      <c r="G367" s="59" t="s">
        <v>251</v>
      </c>
      <c r="H367" s="59" t="s">
        <v>252</v>
      </c>
      <c r="I367" s="60" t="s">
        <v>468</v>
      </c>
      <c r="J367" s="61"/>
      <c r="K367" s="61"/>
      <c r="L367" s="42"/>
      <c r="M367" s="42"/>
      <c r="N367" s="42"/>
      <c r="O367" s="42"/>
      <c r="P367" s="42"/>
      <c r="Q367" s="42"/>
      <c r="R367" s="42"/>
      <c r="S367" s="42"/>
      <c r="T367" s="42"/>
      <c r="U367" s="42"/>
      <c r="V367" s="42"/>
      <c r="W367" s="42"/>
      <c r="X367" s="42"/>
      <c r="Y367" s="42"/>
      <c r="Z367" s="42"/>
    </row>
    <row r="368" ht="57.0" customHeight="1">
      <c r="A368" s="57" t="s">
        <v>247</v>
      </c>
      <c r="B368" s="57" t="s">
        <v>105</v>
      </c>
      <c r="C368" s="57" t="s">
        <v>1323</v>
      </c>
      <c r="D368" s="57" t="s">
        <v>1324</v>
      </c>
      <c r="E368" s="57" t="s">
        <v>1325</v>
      </c>
      <c r="F368" s="66">
        <v>250000.0</v>
      </c>
      <c r="G368" s="59" t="s">
        <v>251</v>
      </c>
      <c r="H368" s="59" t="s">
        <v>252</v>
      </c>
      <c r="I368" s="60" t="s">
        <v>468</v>
      </c>
      <c r="J368" s="61"/>
      <c r="K368" s="61"/>
      <c r="L368" s="42"/>
      <c r="M368" s="42"/>
      <c r="N368" s="42"/>
      <c r="O368" s="42"/>
      <c r="P368" s="42"/>
      <c r="Q368" s="42"/>
      <c r="R368" s="42"/>
      <c r="S368" s="42"/>
      <c r="T368" s="42"/>
      <c r="U368" s="42"/>
      <c r="V368" s="42"/>
      <c r="W368" s="42"/>
      <c r="X368" s="42"/>
      <c r="Y368" s="42"/>
      <c r="Z368" s="42"/>
    </row>
    <row r="369" ht="57.0" customHeight="1">
      <c r="A369" s="57" t="s">
        <v>247</v>
      </c>
      <c r="B369" s="57" t="s">
        <v>105</v>
      </c>
      <c r="C369" s="57" t="s">
        <v>1326</v>
      </c>
      <c r="D369" s="57" t="s">
        <v>1327</v>
      </c>
      <c r="E369" s="57" t="s">
        <v>1328</v>
      </c>
      <c r="F369" s="66">
        <v>400000.0</v>
      </c>
      <c r="G369" s="59" t="s">
        <v>251</v>
      </c>
      <c r="H369" s="59" t="s">
        <v>252</v>
      </c>
      <c r="I369" s="60" t="s">
        <v>468</v>
      </c>
      <c r="J369" s="61"/>
      <c r="K369" s="61"/>
      <c r="L369" s="42"/>
      <c r="M369" s="42"/>
      <c r="N369" s="42"/>
      <c r="O369" s="42"/>
      <c r="P369" s="42"/>
      <c r="Q369" s="42"/>
      <c r="R369" s="42"/>
      <c r="S369" s="42"/>
      <c r="T369" s="42"/>
      <c r="U369" s="42"/>
      <c r="V369" s="42"/>
      <c r="W369" s="42"/>
      <c r="X369" s="42"/>
      <c r="Y369" s="42"/>
      <c r="Z369" s="42"/>
    </row>
    <row r="370" ht="57.0" customHeight="1">
      <c r="A370" s="57" t="s">
        <v>247</v>
      </c>
      <c r="B370" s="57" t="s">
        <v>105</v>
      </c>
      <c r="C370" s="57" t="s">
        <v>1329</v>
      </c>
      <c r="D370" s="57" t="s">
        <v>1330</v>
      </c>
      <c r="E370" s="57" t="s">
        <v>1331</v>
      </c>
      <c r="F370" s="66">
        <v>1000000.0</v>
      </c>
      <c r="G370" s="70" t="s">
        <v>657</v>
      </c>
      <c r="H370" s="59" t="s">
        <v>252</v>
      </c>
      <c r="I370" s="60" t="s">
        <v>468</v>
      </c>
      <c r="J370" s="61"/>
      <c r="K370" s="61"/>
      <c r="L370" s="42"/>
      <c r="M370" s="42"/>
      <c r="N370" s="42"/>
      <c r="O370" s="42"/>
      <c r="P370" s="42"/>
      <c r="Q370" s="42"/>
      <c r="R370" s="42"/>
      <c r="S370" s="42"/>
      <c r="T370" s="42"/>
      <c r="U370" s="42"/>
      <c r="V370" s="42"/>
      <c r="W370" s="42"/>
      <c r="X370" s="42"/>
      <c r="Y370" s="42"/>
      <c r="Z370" s="42"/>
    </row>
    <row r="371" ht="57.0" customHeight="1">
      <c r="A371" s="57" t="s">
        <v>247</v>
      </c>
      <c r="B371" s="57" t="s">
        <v>105</v>
      </c>
      <c r="C371" s="57" t="s">
        <v>1332</v>
      </c>
      <c r="D371" s="57" t="s">
        <v>1333</v>
      </c>
      <c r="E371" s="57" t="s">
        <v>1334</v>
      </c>
      <c r="F371" s="66">
        <v>1000000.0</v>
      </c>
      <c r="G371" s="70" t="s">
        <v>657</v>
      </c>
      <c r="H371" s="59" t="s">
        <v>252</v>
      </c>
      <c r="I371" s="60" t="s">
        <v>468</v>
      </c>
      <c r="J371" s="61"/>
      <c r="K371" s="61"/>
      <c r="L371" s="42"/>
      <c r="M371" s="42"/>
      <c r="N371" s="42"/>
      <c r="O371" s="42"/>
      <c r="P371" s="42"/>
      <c r="Q371" s="42"/>
      <c r="R371" s="42"/>
      <c r="S371" s="42"/>
      <c r="T371" s="42"/>
      <c r="U371" s="42"/>
      <c r="V371" s="42"/>
      <c r="W371" s="42"/>
      <c r="X371" s="42"/>
      <c r="Y371" s="42"/>
      <c r="Z371" s="42"/>
    </row>
    <row r="372" ht="57.0" customHeight="1">
      <c r="A372" s="57" t="s">
        <v>247</v>
      </c>
      <c r="B372" s="57" t="s">
        <v>105</v>
      </c>
      <c r="C372" s="57" t="s">
        <v>1335</v>
      </c>
      <c r="D372" s="57" t="s">
        <v>1336</v>
      </c>
      <c r="E372" s="57" t="s">
        <v>1337</v>
      </c>
      <c r="F372" s="66">
        <v>600000.0</v>
      </c>
      <c r="G372" s="59" t="s">
        <v>664</v>
      </c>
      <c r="H372" s="59" t="s">
        <v>252</v>
      </c>
      <c r="I372" s="60" t="s">
        <v>468</v>
      </c>
      <c r="J372" s="61"/>
      <c r="K372" s="61"/>
      <c r="L372" s="42"/>
      <c r="M372" s="42"/>
      <c r="N372" s="42"/>
      <c r="O372" s="42"/>
      <c r="P372" s="42"/>
      <c r="Q372" s="42"/>
      <c r="R372" s="42"/>
      <c r="S372" s="42"/>
      <c r="T372" s="42"/>
      <c r="U372" s="42"/>
      <c r="V372" s="42"/>
      <c r="W372" s="42"/>
      <c r="X372" s="42"/>
      <c r="Y372" s="42"/>
      <c r="Z372" s="42"/>
    </row>
    <row r="373" ht="57.0" customHeight="1">
      <c r="A373" s="57" t="s">
        <v>247</v>
      </c>
      <c r="B373" s="57" t="s">
        <v>105</v>
      </c>
      <c r="C373" s="57" t="s">
        <v>1338</v>
      </c>
      <c r="D373" s="57" t="s">
        <v>1339</v>
      </c>
      <c r="E373" s="57" t="s">
        <v>1340</v>
      </c>
      <c r="F373" s="66">
        <v>900000.0</v>
      </c>
      <c r="G373" s="59" t="s">
        <v>664</v>
      </c>
      <c r="H373" s="59" t="s">
        <v>252</v>
      </c>
      <c r="I373" s="60" t="s">
        <v>468</v>
      </c>
      <c r="J373" s="61"/>
      <c r="K373" s="61"/>
      <c r="L373" s="42"/>
      <c r="M373" s="42"/>
      <c r="N373" s="42"/>
      <c r="O373" s="42"/>
      <c r="P373" s="42"/>
      <c r="Q373" s="42"/>
      <c r="R373" s="42"/>
      <c r="S373" s="42"/>
      <c r="T373" s="42"/>
      <c r="U373" s="42"/>
      <c r="V373" s="42"/>
      <c r="W373" s="42"/>
      <c r="X373" s="42"/>
      <c r="Y373" s="42"/>
      <c r="Z373" s="42"/>
    </row>
    <row r="374" ht="28.5" customHeight="1">
      <c r="A374" s="57" t="s">
        <v>247</v>
      </c>
      <c r="B374" s="57" t="s">
        <v>105</v>
      </c>
      <c r="C374" s="57" t="s">
        <v>1341</v>
      </c>
      <c r="D374" s="57" t="s">
        <v>1342</v>
      </c>
      <c r="E374" s="57" t="s">
        <v>1343</v>
      </c>
      <c r="F374" s="58">
        <v>1500000.0</v>
      </c>
      <c r="G374" s="57" t="s">
        <v>251</v>
      </c>
      <c r="H374" s="59" t="s">
        <v>252</v>
      </c>
      <c r="I374" s="59" t="s">
        <v>472</v>
      </c>
      <c r="J374" s="61"/>
      <c r="K374" s="61"/>
      <c r="L374" s="42"/>
      <c r="M374" s="42"/>
      <c r="N374" s="42"/>
      <c r="O374" s="42"/>
      <c r="P374" s="42"/>
      <c r="Q374" s="42"/>
      <c r="R374" s="42"/>
      <c r="S374" s="42"/>
      <c r="T374" s="42"/>
      <c r="U374" s="42"/>
      <c r="V374" s="42"/>
      <c r="W374" s="42"/>
      <c r="X374" s="42"/>
      <c r="Y374" s="42"/>
      <c r="Z374" s="42"/>
    </row>
    <row r="375" ht="28.5" customHeight="1">
      <c r="A375" s="57" t="s">
        <v>247</v>
      </c>
      <c r="B375" s="57" t="s">
        <v>105</v>
      </c>
      <c r="C375" s="57" t="s">
        <v>1344</v>
      </c>
      <c r="D375" s="57" t="s">
        <v>1345</v>
      </c>
      <c r="E375" s="57" t="s">
        <v>1346</v>
      </c>
      <c r="F375" s="58">
        <v>2000000.0</v>
      </c>
      <c r="G375" s="57" t="s">
        <v>251</v>
      </c>
      <c r="H375" s="59" t="s">
        <v>252</v>
      </c>
      <c r="I375" s="59" t="s">
        <v>472</v>
      </c>
      <c r="J375" s="61"/>
      <c r="K375" s="61"/>
      <c r="L375" s="42"/>
      <c r="M375" s="42"/>
      <c r="N375" s="42"/>
      <c r="O375" s="42"/>
      <c r="P375" s="42"/>
      <c r="Q375" s="42"/>
      <c r="R375" s="42"/>
      <c r="S375" s="42"/>
      <c r="T375" s="42"/>
      <c r="U375" s="42"/>
      <c r="V375" s="42"/>
      <c r="W375" s="42"/>
      <c r="X375" s="42"/>
      <c r="Y375" s="42"/>
      <c r="Z375" s="42"/>
    </row>
    <row r="376" ht="28.5" customHeight="1">
      <c r="A376" s="57" t="s">
        <v>247</v>
      </c>
      <c r="B376" s="57" t="s">
        <v>105</v>
      </c>
      <c r="C376" s="57" t="s">
        <v>1347</v>
      </c>
      <c r="D376" s="57" t="s">
        <v>1348</v>
      </c>
      <c r="E376" s="57" t="s">
        <v>1349</v>
      </c>
      <c r="F376" s="58">
        <v>100000.0</v>
      </c>
      <c r="G376" s="57" t="s">
        <v>251</v>
      </c>
      <c r="H376" s="59" t="s">
        <v>252</v>
      </c>
      <c r="I376" s="59" t="s">
        <v>472</v>
      </c>
      <c r="J376" s="61"/>
      <c r="K376" s="61"/>
      <c r="L376" s="42"/>
      <c r="M376" s="42"/>
      <c r="N376" s="42"/>
      <c r="O376" s="42"/>
      <c r="P376" s="42"/>
      <c r="Q376" s="42"/>
      <c r="R376" s="42"/>
      <c r="S376" s="42"/>
      <c r="T376" s="42"/>
      <c r="U376" s="42"/>
      <c r="V376" s="42"/>
      <c r="W376" s="42"/>
      <c r="X376" s="42"/>
      <c r="Y376" s="42"/>
      <c r="Z376" s="42"/>
    </row>
    <row r="377" ht="30.75" customHeight="1">
      <c r="A377" s="52" t="s">
        <v>247</v>
      </c>
      <c r="B377" s="52" t="s">
        <v>108</v>
      </c>
      <c r="C377" s="52" t="s">
        <v>109</v>
      </c>
      <c r="D377" s="52" t="s">
        <v>110</v>
      </c>
      <c r="E377" s="52"/>
      <c r="F377" s="62"/>
      <c r="G377" s="52"/>
      <c r="H377" s="63"/>
      <c r="I377" s="63"/>
      <c r="J377" s="54"/>
      <c r="K377" s="54"/>
      <c r="L377" s="56"/>
      <c r="M377" s="56"/>
      <c r="N377" s="56"/>
      <c r="O377" s="56"/>
      <c r="P377" s="56"/>
      <c r="Q377" s="56"/>
      <c r="R377" s="56"/>
      <c r="S377" s="56"/>
      <c r="T377" s="56"/>
      <c r="U377" s="56"/>
      <c r="V377" s="56"/>
      <c r="W377" s="56"/>
      <c r="X377" s="56"/>
      <c r="Y377" s="56"/>
      <c r="Z377" s="56"/>
    </row>
    <row r="378" ht="57.0" customHeight="1">
      <c r="A378" s="57" t="s">
        <v>247</v>
      </c>
      <c r="B378" s="57" t="s">
        <v>108</v>
      </c>
      <c r="C378" s="57" t="s">
        <v>1350</v>
      </c>
      <c r="D378" s="57" t="s">
        <v>1351</v>
      </c>
      <c r="E378" s="57" t="s">
        <v>1352</v>
      </c>
      <c r="F378" s="58">
        <v>150000.0</v>
      </c>
      <c r="G378" s="57" t="s">
        <v>251</v>
      </c>
      <c r="H378" s="59" t="s">
        <v>252</v>
      </c>
      <c r="I378" s="60" t="s">
        <v>253</v>
      </c>
      <c r="J378" s="61"/>
      <c r="K378" s="61"/>
      <c r="L378" s="42"/>
      <c r="M378" s="42"/>
      <c r="N378" s="42"/>
      <c r="O378" s="42"/>
      <c r="P378" s="42"/>
      <c r="Q378" s="42"/>
      <c r="R378" s="42"/>
      <c r="S378" s="42"/>
      <c r="T378" s="42"/>
      <c r="U378" s="42"/>
      <c r="V378" s="42"/>
      <c r="W378" s="42"/>
      <c r="X378" s="42"/>
      <c r="Y378" s="42"/>
      <c r="Z378" s="42"/>
    </row>
    <row r="379" ht="57.0" customHeight="1">
      <c r="A379" s="57" t="s">
        <v>247</v>
      </c>
      <c r="B379" s="57" t="s">
        <v>108</v>
      </c>
      <c r="C379" s="57" t="s">
        <v>1353</v>
      </c>
      <c r="D379" s="57" t="s">
        <v>1354</v>
      </c>
      <c r="E379" s="57" t="s">
        <v>1355</v>
      </c>
      <c r="F379" s="58">
        <v>300000.0</v>
      </c>
      <c r="G379" s="57" t="s">
        <v>251</v>
      </c>
      <c r="H379" s="59" t="s">
        <v>252</v>
      </c>
      <c r="I379" s="60" t="s">
        <v>253</v>
      </c>
      <c r="J379" s="61"/>
      <c r="K379" s="61"/>
      <c r="L379" s="42"/>
      <c r="M379" s="42"/>
      <c r="N379" s="42"/>
      <c r="O379" s="42"/>
      <c r="P379" s="42"/>
      <c r="Q379" s="42"/>
      <c r="R379" s="42"/>
      <c r="S379" s="42"/>
      <c r="T379" s="42"/>
      <c r="U379" s="42"/>
      <c r="V379" s="42"/>
      <c r="W379" s="42"/>
      <c r="X379" s="42"/>
      <c r="Y379" s="42"/>
      <c r="Z379" s="42"/>
    </row>
    <row r="380" ht="57.0" customHeight="1">
      <c r="A380" s="57" t="s">
        <v>247</v>
      </c>
      <c r="B380" s="57" t="s">
        <v>108</v>
      </c>
      <c r="C380" s="57" t="s">
        <v>1356</v>
      </c>
      <c r="D380" s="57" t="s">
        <v>1357</v>
      </c>
      <c r="E380" s="57" t="s">
        <v>1358</v>
      </c>
      <c r="F380" s="58">
        <v>3200000.0</v>
      </c>
      <c r="G380" s="57" t="s">
        <v>251</v>
      </c>
      <c r="H380" s="59" t="s">
        <v>252</v>
      </c>
      <c r="I380" s="60" t="s">
        <v>253</v>
      </c>
      <c r="J380" s="61"/>
      <c r="K380" s="61"/>
      <c r="L380" s="42"/>
      <c r="M380" s="42"/>
      <c r="N380" s="42"/>
      <c r="O380" s="42"/>
      <c r="P380" s="42"/>
      <c r="Q380" s="42"/>
      <c r="R380" s="42"/>
      <c r="S380" s="42"/>
      <c r="T380" s="42"/>
      <c r="U380" s="42"/>
      <c r="V380" s="42"/>
      <c r="W380" s="42"/>
      <c r="X380" s="42"/>
      <c r="Y380" s="42"/>
      <c r="Z380" s="42"/>
    </row>
    <row r="381" ht="57.0" customHeight="1">
      <c r="A381" s="57" t="s">
        <v>247</v>
      </c>
      <c r="B381" s="57" t="s">
        <v>108</v>
      </c>
      <c r="C381" s="57" t="s">
        <v>1359</v>
      </c>
      <c r="D381" s="57" t="s">
        <v>1360</v>
      </c>
      <c r="E381" s="57" t="s">
        <v>1361</v>
      </c>
      <c r="F381" s="58">
        <v>75000.0</v>
      </c>
      <c r="G381" s="57" t="s">
        <v>251</v>
      </c>
      <c r="H381" s="59" t="s">
        <v>252</v>
      </c>
      <c r="I381" s="60" t="s">
        <v>253</v>
      </c>
      <c r="J381" s="61"/>
      <c r="K381" s="61"/>
      <c r="L381" s="42"/>
      <c r="M381" s="42"/>
      <c r="N381" s="42"/>
      <c r="O381" s="42"/>
      <c r="P381" s="42"/>
      <c r="Q381" s="42"/>
      <c r="R381" s="42"/>
      <c r="S381" s="42"/>
      <c r="T381" s="42"/>
      <c r="U381" s="42"/>
      <c r="V381" s="42"/>
      <c r="W381" s="42"/>
      <c r="X381" s="42"/>
      <c r="Y381" s="42"/>
      <c r="Z381" s="42"/>
    </row>
    <row r="382" ht="57.0" customHeight="1">
      <c r="A382" s="57" t="s">
        <v>247</v>
      </c>
      <c r="B382" s="57" t="s">
        <v>108</v>
      </c>
      <c r="C382" s="57" t="s">
        <v>1362</v>
      </c>
      <c r="D382" s="57" t="s">
        <v>1363</v>
      </c>
      <c r="E382" s="57" t="s">
        <v>1364</v>
      </c>
      <c r="F382" s="58">
        <v>30000.0</v>
      </c>
      <c r="G382" s="57" t="s">
        <v>251</v>
      </c>
      <c r="H382" s="59" t="s">
        <v>252</v>
      </c>
      <c r="I382" s="60" t="s">
        <v>253</v>
      </c>
      <c r="J382" s="61"/>
      <c r="K382" s="61"/>
      <c r="L382" s="42"/>
      <c r="M382" s="42"/>
      <c r="N382" s="42"/>
      <c r="O382" s="42"/>
      <c r="P382" s="42"/>
      <c r="Q382" s="42"/>
      <c r="R382" s="42"/>
      <c r="S382" s="42"/>
      <c r="T382" s="42"/>
      <c r="U382" s="42"/>
      <c r="V382" s="42"/>
      <c r="W382" s="42"/>
      <c r="X382" s="42"/>
      <c r="Y382" s="42"/>
      <c r="Z382" s="42"/>
    </row>
    <row r="383" ht="30.75" customHeight="1">
      <c r="A383" s="52" t="s">
        <v>247</v>
      </c>
      <c r="B383" s="52" t="s">
        <v>111</v>
      </c>
      <c r="C383" s="52" t="s">
        <v>112</v>
      </c>
      <c r="D383" s="52" t="s">
        <v>113</v>
      </c>
      <c r="E383" s="52"/>
      <c r="F383" s="62"/>
      <c r="G383" s="52"/>
      <c r="H383" s="63"/>
      <c r="I383" s="63"/>
      <c r="J383" s="54"/>
      <c r="K383" s="54"/>
      <c r="L383" s="56"/>
      <c r="M383" s="56"/>
      <c r="N383" s="56"/>
      <c r="O383" s="56"/>
      <c r="P383" s="56"/>
      <c r="Q383" s="56"/>
      <c r="R383" s="56"/>
      <c r="S383" s="56"/>
      <c r="T383" s="56"/>
      <c r="U383" s="56"/>
      <c r="V383" s="56"/>
      <c r="W383" s="56"/>
      <c r="X383" s="56"/>
      <c r="Y383" s="56"/>
      <c r="Z383" s="56"/>
    </row>
    <row r="384" ht="57.0" customHeight="1">
      <c r="A384" s="57" t="s">
        <v>247</v>
      </c>
      <c r="B384" s="57" t="s">
        <v>111</v>
      </c>
      <c r="C384" s="57" t="s">
        <v>1365</v>
      </c>
      <c r="D384" s="57" t="s">
        <v>1366</v>
      </c>
      <c r="E384" s="57" t="s">
        <v>1367</v>
      </c>
      <c r="F384" s="58">
        <v>200000.0</v>
      </c>
      <c r="G384" s="57" t="s">
        <v>251</v>
      </c>
      <c r="H384" s="59" t="s">
        <v>252</v>
      </c>
      <c r="I384" s="60" t="s">
        <v>253</v>
      </c>
      <c r="J384" s="61"/>
      <c r="K384" s="61"/>
      <c r="L384" s="42"/>
      <c r="M384" s="42"/>
      <c r="N384" s="42"/>
      <c r="O384" s="42"/>
      <c r="P384" s="42"/>
      <c r="Q384" s="42"/>
      <c r="R384" s="42"/>
      <c r="S384" s="42"/>
      <c r="T384" s="42"/>
      <c r="U384" s="42"/>
      <c r="V384" s="42"/>
      <c r="W384" s="42"/>
      <c r="X384" s="42"/>
      <c r="Y384" s="42"/>
      <c r="Z384" s="42"/>
    </row>
    <row r="385" ht="57.0" customHeight="1">
      <c r="A385" s="57" t="s">
        <v>247</v>
      </c>
      <c r="B385" s="57" t="s">
        <v>111</v>
      </c>
      <c r="C385" s="57" t="s">
        <v>1368</v>
      </c>
      <c r="D385" s="57" t="s">
        <v>1369</v>
      </c>
      <c r="E385" s="57" t="s">
        <v>1370</v>
      </c>
      <c r="F385" s="58">
        <v>130000.0</v>
      </c>
      <c r="G385" s="57" t="s">
        <v>251</v>
      </c>
      <c r="H385" s="59" t="s">
        <v>252</v>
      </c>
      <c r="I385" s="60" t="s">
        <v>253</v>
      </c>
      <c r="J385" s="61"/>
      <c r="K385" s="61"/>
      <c r="L385" s="42"/>
      <c r="M385" s="42"/>
      <c r="N385" s="42"/>
      <c r="O385" s="42"/>
      <c r="P385" s="42"/>
      <c r="Q385" s="42"/>
      <c r="R385" s="42"/>
      <c r="S385" s="42"/>
      <c r="T385" s="42"/>
      <c r="U385" s="42"/>
      <c r="V385" s="42"/>
      <c r="W385" s="42"/>
      <c r="X385" s="42"/>
      <c r="Y385" s="42"/>
      <c r="Z385" s="42"/>
    </row>
    <row r="386" ht="57.0" customHeight="1">
      <c r="A386" s="57" t="s">
        <v>247</v>
      </c>
      <c r="B386" s="57" t="s">
        <v>111</v>
      </c>
      <c r="C386" s="57" t="s">
        <v>1371</v>
      </c>
      <c r="D386" s="57" t="s">
        <v>1372</v>
      </c>
      <c r="E386" s="57" t="s">
        <v>1373</v>
      </c>
      <c r="F386" s="58">
        <v>1300000.0</v>
      </c>
      <c r="G386" s="57" t="s">
        <v>251</v>
      </c>
      <c r="H386" s="59" t="s">
        <v>252</v>
      </c>
      <c r="I386" s="60" t="s">
        <v>253</v>
      </c>
      <c r="J386" s="61"/>
      <c r="K386" s="61"/>
      <c r="L386" s="42"/>
      <c r="M386" s="42"/>
      <c r="N386" s="42"/>
      <c r="O386" s="42"/>
      <c r="P386" s="42"/>
      <c r="Q386" s="42"/>
      <c r="R386" s="42"/>
      <c r="S386" s="42"/>
      <c r="T386" s="42"/>
      <c r="U386" s="42"/>
      <c r="V386" s="42"/>
      <c r="W386" s="42"/>
      <c r="X386" s="42"/>
      <c r="Y386" s="42"/>
      <c r="Z386" s="42"/>
    </row>
    <row r="387" ht="57.0" customHeight="1">
      <c r="A387" s="57" t="s">
        <v>247</v>
      </c>
      <c r="B387" s="57" t="s">
        <v>111</v>
      </c>
      <c r="C387" s="57" t="s">
        <v>1374</v>
      </c>
      <c r="D387" s="57" t="s">
        <v>1375</v>
      </c>
      <c r="E387" s="57" t="s">
        <v>1376</v>
      </c>
      <c r="F387" s="58">
        <v>1100000.0</v>
      </c>
      <c r="G387" s="57" t="s">
        <v>251</v>
      </c>
      <c r="H387" s="59" t="s">
        <v>252</v>
      </c>
      <c r="I387" s="60" t="s">
        <v>253</v>
      </c>
      <c r="J387" s="61"/>
      <c r="K387" s="61"/>
      <c r="L387" s="42"/>
      <c r="M387" s="42"/>
      <c r="N387" s="42"/>
      <c r="O387" s="42"/>
      <c r="P387" s="42"/>
      <c r="Q387" s="42"/>
      <c r="R387" s="42"/>
      <c r="S387" s="42"/>
      <c r="T387" s="42"/>
      <c r="U387" s="42"/>
      <c r="V387" s="42"/>
      <c r="W387" s="42"/>
      <c r="X387" s="42"/>
      <c r="Y387" s="42"/>
      <c r="Z387" s="42"/>
    </row>
    <row r="388" ht="57.0" customHeight="1">
      <c r="A388" s="57" t="s">
        <v>247</v>
      </c>
      <c r="B388" s="57" t="s">
        <v>111</v>
      </c>
      <c r="C388" s="57" t="s">
        <v>1377</v>
      </c>
      <c r="D388" s="57" t="s">
        <v>1378</v>
      </c>
      <c r="E388" s="57" t="s">
        <v>1379</v>
      </c>
      <c r="F388" s="58">
        <v>1300000.0</v>
      </c>
      <c r="G388" s="57" t="s">
        <v>251</v>
      </c>
      <c r="H388" s="59" t="s">
        <v>252</v>
      </c>
      <c r="I388" s="60" t="s">
        <v>253</v>
      </c>
      <c r="J388" s="61"/>
      <c r="K388" s="61"/>
      <c r="L388" s="42"/>
      <c r="M388" s="42"/>
      <c r="N388" s="42"/>
      <c r="O388" s="42"/>
      <c r="P388" s="42"/>
      <c r="Q388" s="42"/>
      <c r="R388" s="42"/>
      <c r="S388" s="42"/>
      <c r="T388" s="42"/>
      <c r="U388" s="42"/>
      <c r="V388" s="42"/>
      <c r="W388" s="42"/>
      <c r="X388" s="42"/>
      <c r="Y388" s="42"/>
      <c r="Z388" s="42"/>
    </row>
    <row r="389" ht="57.0" customHeight="1">
      <c r="A389" s="57" t="s">
        <v>247</v>
      </c>
      <c r="B389" s="57" t="s">
        <v>111</v>
      </c>
      <c r="C389" s="57" t="s">
        <v>1380</v>
      </c>
      <c r="D389" s="57" t="s">
        <v>1381</v>
      </c>
      <c r="E389" s="57" t="s">
        <v>1382</v>
      </c>
      <c r="F389" s="58">
        <v>1.25E7</v>
      </c>
      <c r="G389" s="57" t="s">
        <v>251</v>
      </c>
      <c r="H389" s="59" t="s">
        <v>252</v>
      </c>
      <c r="I389" s="60" t="s">
        <v>253</v>
      </c>
      <c r="J389" s="61"/>
      <c r="K389" s="61"/>
      <c r="L389" s="42"/>
      <c r="M389" s="42"/>
      <c r="N389" s="42"/>
      <c r="O389" s="42"/>
      <c r="P389" s="42"/>
      <c r="Q389" s="42"/>
      <c r="R389" s="42"/>
      <c r="S389" s="42"/>
      <c r="T389" s="42"/>
      <c r="U389" s="42"/>
      <c r="V389" s="42"/>
      <c r="W389" s="42"/>
      <c r="X389" s="42"/>
      <c r="Y389" s="42"/>
      <c r="Z389" s="42"/>
    </row>
    <row r="390" ht="57.0" customHeight="1">
      <c r="A390" s="57" t="s">
        <v>247</v>
      </c>
      <c r="B390" s="57" t="s">
        <v>111</v>
      </c>
      <c r="C390" s="57" t="s">
        <v>1383</v>
      </c>
      <c r="D390" s="57" t="s">
        <v>1384</v>
      </c>
      <c r="E390" s="57" t="s">
        <v>1385</v>
      </c>
      <c r="F390" s="58">
        <v>6000000.0</v>
      </c>
      <c r="G390" s="57" t="s">
        <v>251</v>
      </c>
      <c r="H390" s="59" t="s">
        <v>252</v>
      </c>
      <c r="I390" s="60" t="s">
        <v>253</v>
      </c>
      <c r="J390" s="61"/>
      <c r="K390" s="61"/>
      <c r="L390" s="42"/>
      <c r="M390" s="42"/>
      <c r="N390" s="42"/>
      <c r="O390" s="42"/>
      <c r="P390" s="42"/>
      <c r="Q390" s="42"/>
      <c r="R390" s="42"/>
      <c r="S390" s="42"/>
      <c r="T390" s="42"/>
      <c r="U390" s="42"/>
      <c r="V390" s="42"/>
      <c r="W390" s="42"/>
      <c r="X390" s="42"/>
      <c r="Y390" s="42"/>
      <c r="Z390" s="42"/>
    </row>
    <row r="391" ht="57.0" customHeight="1">
      <c r="A391" s="57" t="s">
        <v>247</v>
      </c>
      <c r="B391" s="57" t="s">
        <v>111</v>
      </c>
      <c r="C391" s="57" t="s">
        <v>1386</v>
      </c>
      <c r="D391" s="57" t="s">
        <v>1387</v>
      </c>
      <c r="E391" s="57" t="s">
        <v>1388</v>
      </c>
      <c r="F391" s="58">
        <v>4200000.0</v>
      </c>
      <c r="G391" s="57" t="s">
        <v>251</v>
      </c>
      <c r="H391" s="59" t="s">
        <v>252</v>
      </c>
      <c r="I391" s="60" t="s">
        <v>253</v>
      </c>
      <c r="J391" s="61"/>
      <c r="K391" s="61"/>
      <c r="L391" s="42"/>
      <c r="M391" s="42"/>
      <c r="N391" s="42"/>
      <c r="O391" s="42"/>
      <c r="P391" s="42"/>
      <c r="Q391" s="42"/>
      <c r="R391" s="42"/>
      <c r="S391" s="42"/>
      <c r="T391" s="42"/>
      <c r="U391" s="42"/>
      <c r="V391" s="42"/>
      <c r="W391" s="42"/>
      <c r="X391" s="42"/>
      <c r="Y391" s="42"/>
      <c r="Z391" s="42"/>
    </row>
    <row r="392" ht="57.0" customHeight="1">
      <c r="A392" s="57" t="s">
        <v>247</v>
      </c>
      <c r="B392" s="57" t="s">
        <v>111</v>
      </c>
      <c r="C392" s="57" t="s">
        <v>1389</v>
      </c>
      <c r="D392" s="57" t="s">
        <v>1390</v>
      </c>
      <c r="E392" s="57" t="s">
        <v>1391</v>
      </c>
      <c r="F392" s="58">
        <v>2000000.0</v>
      </c>
      <c r="G392" s="57" t="s">
        <v>251</v>
      </c>
      <c r="H392" s="59" t="s">
        <v>252</v>
      </c>
      <c r="I392" s="60" t="s">
        <v>253</v>
      </c>
      <c r="J392" s="61"/>
      <c r="K392" s="61"/>
      <c r="L392" s="42"/>
      <c r="M392" s="42"/>
      <c r="N392" s="42"/>
      <c r="O392" s="42"/>
      <c r="P392" s="42"/>
      <c r="Q392" s="42"/>
      <c r="R392" s="42"/>
      <c r="S392" s="42"/>
      <c r="T392" s="42"/>
      <c r="U392" s="42"/>
      <c r="V392" s="42"/>
      <c r="W392" s="42"/>
      <c r="X392" s="42"/>
      <c r="Y392" s="42"/>
      <c r="Z392" s="42"/>
    </row>
    <row r="393" ht="57.0" customHeight="1">
      <c r="A393" s="57" t="s">
        <v>247</v>
      </c>
      <c r="B393" s="57" t="s">
        <v>111</v>
      </c>
      <c r="C393" s="57" t="s">
        <v>1392</v>
      </c>
      <c r="D393" s="57" t="s">
        <v>1393</v>
      </c>
      <c r="E393" s="57" t="s">
        <v>1394</v>
      </c>
      <c r="F393" s="58">
        <v>3000000.0</v>
      </c>
      <c r="G393" s="57" t="s">
        <v>251</v>
      </c>
      <c r="H393" s="59" t="s">
        <v>252</v>
      </c>
      <c r="I393" s="60" t="s">
        <v>253</v>
      </c>
      <c r="J393" s="61"/>
      <c r="K393" s="61"/>
      <c r="L393" s="42"/>
      <c r="M393" s="42"/>
      <c r="N393" s="42"/>
      <c r="O393" s="42"/>
      <c r="P393" s="42"/>
      <c r="Q393" s="42"/>
      <c r="R393" s="42"/>
      <c r="S393" s="42"/>
      <c r="T393" s="42"/>
      <c r="U393" s="42"/>
      <c r="V393" s="42"/>
      <c r="W393" s="42"/>
      <c r="X393" s="42"/>
      <c r="Y393" s="42"/>
      <c r="Z393" s="42"/>
    </row>
    <row r="394" ht="57.0" customHeight="1">
      <c r="A394" s="57" t="s">
        <v>247</v>
      </c>
      <c r="B394" s="57" t="s">
        <v>111</v>
      </c>
      <c r="C394" s="57" t="s">
        <v>1395</v>
      </c>
      <c r="D394" s="57" t="s">
        <v>1396</v>
      </c>
      <c r="E394" s="57" t="s">
        <v>1397</v>
      </c>
      <c r="F394" s="58">
        <v>4200000.0</v>
      </c>
      <c r="G394" s="57" t="s">
        <v>251</v>
      </c>
      <c r="H394" s="59" t="s">
        <v>252</v>
      </c>
      <c r="I394" s="60" t="s">
        <v>253</v>
      </c>
      <c r="J394" s="61"/>
      <c r="K394" s="61"/>
      <c r="L394" s="42"/>
      <c r="M394" s="42"/>
      <c r="N394" s="42"/>
      <c r="O394" s="42"/>
      <c r="P394" s="42"/>
      <c r="Q394" s="42"/>
      <c r="R394" s="42"/>
      <c r="S394" s="42"/>
      <c r="T394" s="42"/>
      <c r="U394" s="42"/>
      <c r="V394" s="42"/>
      <c r="W394" s="42"/>
      <c r="X394" s="42"/>
      <c r="Y394" s="42"/>
      <c r="Z394" s="42"/>
    </row>
    <row r="395" ht="57.0" customHeight="1">
      <c r="A395" s="57" t="s">
        <v>247</v>
      </c>
      <c r="B395" s="57" t="s">
        <v>111</v>
      </c>
      <c r="C395" s="57" t="s">
        <v>1398</v>
      </c>
      <c r="D395" s="57" t="s">
        <v>1399</v>
      </c>
      <c r="E395" s="57" t="s">
        <v>1400</v>
      </c>
      <c r="F395" s="58">
        <v>2.1E7</v>
      </c>
      <c r="G395" s="57" t="s">
        <v>251</v>
      </c>
      <c r="H395" s="59" t="s">
        <v>252</v>
      </c>
      <c r="I395" s="60" t="s">
        <v>253</v>
      </c>
      <c r="J395" s="61"/>
      <c r="K395" s="61"/>
      <c r="L395" s="42"/>
      <c r="M395" s="42"/>
      <c r="N395" s="42"/>
      <c r="O395" s="42"/>
      <c r="P395" s="42"/>
      <c r="Q395" s="42"/>
      <c r="R395" s="42"/>
      <c r="S395" s="42"/>
      <c r="T395" s="42"/>
      <c r="U395" s="42"/>
      <c r="V395" s="42"/>
      <c r="W395" s="42"/>
      <c r="X395" s="42"/>
      <c r="Y395" s="42"/>
      <c r="Z395" s="42"/>
    </row>
    <row r="396" ht="57.0" customHeight="1">
      <c r="A396" s="57" t="s">
        <v>247</v>
      </c>
      <c r="B396" s="57" t="s">
        <v>111</v>
      </c>
      <c r="C396" s="57" t="s">
        <v>1401</v>
      </c>
      <c r="D396" s="57" t="s">
        <v>1402</v>
      </c>
      <c r="E396" s="57" t="s">
        <v>1403</v>
      </c>
      <c r="F396" s="58">
        <v>2.5E7</v>
      </c>
      <c r="G396" s="57" t="s">
        <v>251</v>
      </c>
      <c r="H396" s="59" t="s">
        <v>252</v>
      </c>
      <c r="I396" s="60" t="s">
        <v>253</v>
      </c>
      <c r="J396" s="61"/>
      <c r="K396" s="61"/>
      <c r="L396" s="42"/>
      <c r="M396" s="42"/>
      <c r="N396" s="42"/>
      <c r="O396" s="42"/>
      <c r="P396" s="42"/>
      <c r="Q396" s="42"/>
      <c r="R396" s="42"/>
      <c r="S396" s="42"/>
      <c r="T396" s="42"/>
      <c r="U396" s="42"/>
      <c r="V396" s="42"/>
      <c r="W396" s="42"/>
      <c r="X396" s="42"/>
      <c r="Y396" s="42"/>
      <c r="Z396" s="42"/>
    </row>
    <row r="397" ht="57.0" customHeight="1">
      <c r="A397" s="57" t="s">
        <v>247</v>
      </c>
      <c r="B397" s="57" t="s">
        <v>111</v>
      </c>
      <c r="C397" s="57" t="s">
        <v>1404</v>
      </c>
      <c r="D397" s="57" t="s">
        <v>1405</v>
      </c>
      <c r="E397" s="57" t="s">
        <v>1406</v>
      </c>
      <c r="F397" s="58">
        <v>3.8E7</v>
      </c>
      <c r="G397" s="57" t="s">
        <v>251</v>
      </c>
      <c r="H397" s="59" t="s">
        <v>252</v>
      </c>
      <c r="I397" s="60" t="s">
        <v>253</v>
      </c>
      <c r="J397" s="61"/>
      <c r="K397" s="61"/>
      <c r="L397" s="42"/>
      <c r="M397" s="42"/>
      <c r="N397" s="42"/>
      <c r="O397" s="42"/>
      <c r="P397" s="42"/>
      <c r="Q397" s="42"/>
      <c r="R397" s="42"/>
      <c r="S397" s="42"/>
      <c r="T397" s="42"/>
      <c r="U397" s="42"/>
      <c r="V397" s="42"/>
      <c r="W397" s="42"/>
      <c r="X397" s="42"/>
      <c r="Y397" s="42"/>
      <c r="Z397" s="42"/>
    </row>
    <row r="398" ht="57.0" customHeight="1">
      <c r="A398" s="57" t="s">
        <v>247</v>
      </c>
      <c r="B398" s="57" t="s">
        <v>111</v>
      </c>
      <c r="C398" s="57" t="s">
        <v>1407</v>
      </c>
      <c r="D398" s="57" t="s">
        <v>1408</v>
      </c>
      <c r="E398" s="57" t="s">
        <v>1409</v>
      </c>
      <c r="F398" s="58">
        <v>4250000.0</v>
      </c>
      <c r="G398" s="57" t="s">
        <v>251</v>
      </c>
      <c r="H398" s="59" t="s">
        <v>252</v>
      </c>
      <c r="I398" s="60" t="s">
        <v>253</v>
      </c>
      <c r="J398" s="61"/>
      <c r="K398" s="61"/>
      <c r="L398" s="42"/>
      <c r="M398" s="42"/>
      <c r="N398" s="42"/>
      <c r="O398" s="42"/>
      <c r="P398" s="42"/>
      <c r="Q398" s="42"/>
      <c r="R398" s="42"/>
      <c r="S398" s="42"/>
      <c r="T398" s="42"/>
      <c r="U398" s="42"/>
      <c r="V398" s="42"/>
      <c r="W398" s="42"/>
      <c r="X398" s="42"/>
      <c r="Y398" s="42"/>
      <c r="Z398" s="42"/>
    </row>
    <row r="399" ht="57.0" customHeight="1">
      <c r="A399" s="57" t="s">
        <v>247</v>
      </c>
      <c r="B399" s="57" t="s">
        <v>111</v>
      </c>
      <c r="C399" s="57" t="s">
        <v>1410</v>
      </c>
      <c r="D399" s="57" t="s">
        <v>1411</v>
      </c>
      <c r="E399" s="57" t="s">
        <v>1412</v>
      </c>
      <c r="F399" s="58">
        <v>6000000.0</v>
      </c>
      <c r="G399" s="57" t="s">
        <v>251</v>
      </c>
      <c r="H399" s="59" t="s">
        <v>252</v>
      </c>
      <c r="I399" s="60" t="s">
        <v>253</v>
      </c>
      <c r="J399" s="61"/>
      <c r="K399" s="61"/>
      <c r="L399" s="42"/>
      <c r="M399" s="42"/>
      <c r="N399" s="42"/>
      <c r="O399" s="42"/>
      <c r="P399" s="42"/>
      <c r="Q399" s="42"/>
      <c r="R399" s="42"/>
      <c r="S399" s="42"/>
      <c r="T399" s="42"/>
      <c r="U399" s="42"/>
      <c r="V399" s="42"/>
      <c r="W399" s="42"/>
      <c r="X399" s="42"/>
      <c r="Y399" s="42"/>
      <c r="Z399" s="42"/>
    </row>
    <row r="400" ht="57.0" customHeight="1">
      <c r="A400" s="57" t="s">
        <v>247</v>
      </c>
      <c r="B400" s="57" t="s">
        <v>111</v>
      </c>
      <c r="C400" s="57" t="s">
        <v>1413</v>
      </c>
      <c r="D400" s="57" t="s">
        <v>1414</v>
      </c>
      <c r="E400" s="57" t="s">
        <v>1415</v>
      </c>
      <c r="F400" s="58">
        <v>250000.0</v>
      </c>
      <c r="G400" s="57" t="s">
        <v>251</v>
      </c>
      <c r="H400" s="59" t="s">
        <v>252</v>
      </c>
      <c r="I400" s="60" t="s">
        <v>253</v>
      </c>
      <c r="J400" s="61"/>
      <c r="K400" s="61"/>
      <c r="L400" s="42"/>
      <c r="M400" s="42"/>
      <c r="N400" s="42"/>
      <c r="O400" s="42"/>
      <c r="P400" s="42"/>
      <c r="Q400" s="42"/>
      <c r="R400" s="42"/>
      <c r="S400" s="42"/>
      <c r="T400" s="42"/>
      <c r="U400" s="42"/>
      <c r="V400" s="42"/>
      <c r="W400" s="42"/>
      <c r="X400" s="42"/>
      <c r="Y400" s="42"/>
      <c r="Z400" s="42"/>
    </row>
    <row r="401" ht="57.0" customHeight="1">
      <c r="A401" s="57" t="s">
        <v>247</v>
      </c>
      <c r="B401" s="57" t="s">
        <v>111</v>
      </c>
      <c r="C401" s="57" t="s">
        <v>1416</v>
      </c>
      <c r="D401" s="57" t="s">
        <v>1417</v>
      </c>
      <c r="E401" s="57" t="s">
        <v>1418</v>
      </c>
      <c r="F401" s="58">
        <v>2000000.0</v>
      </c>
      <c r="G401" s="57" t="s">
        <v>251</v>
      </c>
      <c r="H401" s="59" t="s">
        <v>252</v>
      </c>
      <c r="I401" s="60" t="s">
        <v>253</v>
      </c>
      <c r="J401" s="61"/>
      <c r="K401" s="61"/>
      <c r="L401" s="42"/>
      <c r="M401" s="42"/>
      <c r="N401" s="42"/>
      <c r="O401" s="42"/>
      <c r="P401" s="42"/>
      <c r="Q401" s="42"/>
      <c r="R401" s="42"/>
      <c r="S401" s="42"/>
      <c r="T401" s="42"/>
      <c r="U401" s="42"/>
      <c r="V401" s="42"/>
      <c r="W401" s="42"/>
      <c r="X401" s="42"/>
      <c r="Y401" s="42"/>
      <c r="Z401" s="42"/>
    </row>
    <row r="402" ht="57.0" customHeight="1">
      <c r="A402" s="57" t="s">
        <v>247</v>
      </c>
      <c r="B402" s="57" t="s">
        <v>111</v>
      </c>
      <c r="C402" s="57" t="s">
        <v>1419</v>
      </c>
      <c r="D402" s="57" t="s">
        <v>1420</v>
      </c>
      <c r="E402" s="57" t="s">
        <v>1421</v>
      </c>
      <c r="F402" s="58">
        <v>3500000.0</v>
      </c>
      <c r="G402" s="57" t="s">
        <v>251</v>
      </c>
      <c r="H402" s="59" t="s">
        <v>252</v>
      </c>
      <c r="I402" s="60" t="s">
        <v>253</v>
      </c>
      <c r="J402" s="61"/>
      <c r="K402" s="61"/>
      <c r="L402" s="42"/>
      <c r="M402" s="42"/>
      <c r="N402" s="42"/>
      <c r="O402" s="42"/>
      <c r="P402" s="42"/>
      <c r="Q402" s="42"/>
      <c r="R402" s="42"/>
      <c r="S402" s="42"/>
      <c r="T402" s="42"/>
      <c r="U402" s="42"/>
      <c r="V402" s="42"/>
      <c r="W402" s="42"/>
      <c r="X402" s="42"/>
      <c r="Y402" s="42"/>
      <c r="Z402" s="42"/>
    </row>
    <row r="403" ht="57.0" customHeight="1">
      <c r="A403" s="57" t="s">
        <v>247</v>
      </c>
      <c r="B403" s="57" t="s">
        <v>111</v>
      </c>
      <c r="C403" s="57" t="s">
        <v>1422</v>
      </c>
      <c r="D403" s="57" t="s">
        <v>1423</v>
      </c>
      <c r="E403" s="57" t="s">
        <v>1424</v>
      </c>
      <c r="F403" s="58">
        <v>5500000.0</v>
      </c>
      <c r="G403" s="57" t="s">
        <v>251</v>
      </c>
      <c r="H403" s="59" t="s">
        <v>252</v>
      </c>
      <c r="I403" s="60" t="s">
        <v>253</v>
      </c>
      <c r="J403" s="61"/>
      <c r="K403" s="61"/>
      <c r="L403" s="42"/>
      <c r="M403" s="42"/>
      <c r="N403" s="42"/>
      <c r="O403" s="42"/>
      <c r="P403" s="42"/>
      <c r="Q403" s="42"/>
      <c r="R403" s="42"/>
      <c r="S403" s="42"/>
      <c r="T403" s="42"/>
      <c r="U403" s="42"/>
      <c r="V403" s="42"/>
      <c r="W403" s="42"/>
      <c r="X403" s="42"/>
      <c r="Y403" s="42"/>
      <c r="Z403" s="42"/>
    </row>
    <row r="404" ht="57.0" customHeight="1">
      <c r="A404" s="57" t="s">
        <v>247</v>
      </c>
      <c r="B404" s="57" t="s">
        <v>111</v>
      </c>
      <c r="C404" s="57" t="s">
        <v>1425</v>
      </c>
      <c r="D404" s="57" t="s">
        <v>1426</v>
      </c>
      <c r="E404" s="57" t="s">
        <v>1427</v>
      </c>
      <c r="F404" s="58">
        <v>5000000.0</v>
      </c>
      <c r="G404" s="57" t="s">
        <v>251</v>
      </c>
      <c r="H404" s="59" t="s">
        <v>252</v>
      </c>
      <c r="I404" s="60" t="s">
        <v>253</v>
      </c>
      <c r="J404" s="61"/>
      <c r="K404" s="61"/>
      <c r="L404" s="42"/>
      <c r="M404" s="42"/>
      <c r="N404" s="42"/>
      <c r="O404" s="42"/>
      <c r="P404" s="42"/>
      <c r="Q404" s="42"/>
      <c r="R404" s="42"/>
      <c r="S404" s="42"/>
      <c r="T404" s="42"/>
      <c r="U404" s="42"/>
      <c r="V404" s="42"/>
      <c r="W404" s="42"/>
      <c r="X404" s="42"/>
      <c r="Y404" s="42"/>
      <c r="Z404" s="42"/>
    </row>
    <row r="405" ht="57.0" customHeight="1">
      <c r="A405" s="57" t="s">
        <v>247</v>
      </c>
      <c r="B405" s="57" t="s">
        <v>111</v>
      </c>
      <c r="C405" s="57" t="s">
        <v>1428</v>
      </c>
      <c r="D405" s="57" t="s">
        <v>1429</v>
      </c>
      <c r="E405" s="57" t="s">
        <v>1430</v>
      </c>
      <c r="F405" s="58">
        <v>5000000.0</v>
      </c>
      <c r="G405" s="57" t="s">
        <v>251</v>
      </c>
      <c r="H405" s="59" t="s">
        <v>252</v>
      </c>
      <c r="I405" s="60" t="s">
        <v>253</v>
      </c>
      <c r="J405" s="61"/>
      <c r="K405" s="61"/>
      <c r="L405" s="42"/>
      <c r="M405" s="42"/>
      <c r="N405" s="42"/>
      <c r="O405" s="42"/>
      <c r="P405" s="42"/>
      <c r="Q405" s="42"/>
      <c r="R405" s="42"/>
      <c r="S405" s="42"/>
      <c r="T405" s="42"/>
      <c r="U405" s="42"/>
      <c r="V405" s="42"/>
      <c r="W405" s="42"/>
      <c r="X405" s="42"/>
      <c r="Y405" s="42"/>
      <c r="Z405" s="42"/>
    </row>
    <row r="406" ht="57.0" customHeight="1">
      <c r="A406" s="57" t="s">
        <v>247</v>
      </c>
      <c r="B406" s="57" t="s">
        <v>111</v>
      </c>
      <c r="C406" s="57" t="s">
        <v>1431</v>
      </c>
      <c r="D406" s="57" t="s">
        <v>1432</v>
      </c>
      <c r="E406" s="57" t="s">
        <v>1433</v>
      </c>
      <c r="F406" s="69">
        <v>8000000.0</v>
      </c>
      <c r="G406" s="59" t="s">
        <v>251</v>
      </c>
      <c r="H406" s="59" t="s">
        <v>252</v>
      </c>
      <c r="I406" s="60" t="s">
        <v>468</v>
      </c>
      <c r="J406" s="61"/>
      <c r="K406" s="61"/>
      <c r="L406" s="42"/>
      <c r="M406" s="42"/>
      <c r="N406" s="42"/>
      <c r="O406" s="42"/>
      <c r="P406" s="42"/>
      <c r="Q406" s="42"/>
      <c r="R406" s="42"/>
      <c r="S406" s="42"/>
      <c r="T406" s="42"/>
      <c r="U406" s="42"/>
      <c r="V406" s="42"/>
      <c r="W406" s="42"/>
      <c r="X406" s="42"/>
      <c r="Y406" s="42"/>
      <c r="Z406" s="42"/>
    </row>
    <row r="407" ht="30.75" customHeight="1">
      <c r="A407" s="52" t="s">
        <v>247</v>
      </c>
      <c r="B407" s="52" t="s">
        <v>114</v>
      </c>
      <c r="C407" s="52" t="s">
        <v>115</v>
      </c>
      <c r="D407" s="52" t="s">
        <v>116</v>
      </c>
      <c r="E407" s="52"/>
      <c r="F407" s="62"/>
      <c r="G407" s="52"/>
      <c r="H407" s="63"/>
      <c r="I407" s="63"/>
      <c r="J407" s="54"/>
      <c r="K407" s="54"/>
      <c r="L407" s="56"/>
      <c r="M407" s="56"/>
      <c r="N407" s="56"/>
      <c r="O407" s="56"/>
      <c r="P407" s="56"/>
      <c r="Q407" s="56"/>
      <c r="R407" s="56"/>
      <c r="S407" s="56"/>
      <c r="T407" s="56"/>
      <c r="U407" s="56"/>
      <c r="V407" s="56"/>
      <c r="W407" s="56"/>
      <c r="X407" s="56"/>
      <c r="Y407" s="56"/>
      <c r="Z407" s="56"/>
    </row>
    <row r="408" ht="57.0" customHeight="1">
      <c r="A408" s="57" t="s">
        <v>247</v>
      </c>
      <c r="B408" s="57" t="s">
        <v>114</v>
      </c>
      <c r="C408" s="57" t="s">
        <v>1434</v>
      </c>
      <c r="D408" s="57" t="s">
        <v>1435</v>
      </c>
      <c r="E408" s="57" t="s">
        <v>1436</v>
      </c>
      <c r="F408" s="58">
        <v>1500000.0</v>
      </c>
      <c r="G408" s="57" t="s">
        <v>251</v>
      </c>
      <c r="H408" s="59" t="s">
        <v>252</v>
      </c>
      <c r="I408" s="60" t="s">
        <v>253</v>
      </c>
      <c r="J408" s="61"/>
      <c r="K408" s="61"/>
      <c r="L408" s="42"/>
      <c r="M408" s="42"/>
      <c r="N408" s="42"/>
      <c r="O408" s="42"/>
      <c r="P408" s="42"/>
      <c r="Q408" s="42"/>
      <c r="R408" s="42"/>
      <c r="S408" s="42"/>
      <c r="T408" s="42"/>
      <c r="U408" s="42"/>
      <c r="V408" s="42"/>
      <c r="W408" s="42"/>
      <c r="X408" s="42"/>
      <c r="Y408" s="42"/>
      <c r="Z408" s="42"/>
    </row>
    <row r="409" ht="57.0" customHeight="1">
      <c r="A409" s="57" t="s">
        <v>247</v>
      </c>
      <c r="B409" s="57" t="s">
        <v>114</v>
      </c>
      <c r="C409" s="57" t="s">
        <v>1437</v>
      </c>
      <c r="D409" s="57" t="s">
        <v>1438</v>
      </c>
      <c r="E409" s="57" t="s">
        <v>1439</v>
      </c>
      <c r="F409" s="58">
        <v>850000.0</v>
      </c>
      <c r="G409" s="57" t="s">
        <v>251</v>
      </c>
      <c r="H409" s="59" t="s">
        <v>252</v>
      </c>
      <c r="I409" s="60" t="s">
        <v>253</v>
      </c>
      <c r="J409" s="61"/>
      <c r="K409" s="61"/>
      <c r="L409" s="42"/>
      <c r="M409" s="42"/>
      <c r="N409" s="42"/>
      <c r="O409" s="42"/>
      <c r="P409" s="42"/>
      <c r="Q409" s="42"/>
      <c r="R409" s="42"/>
      <c r="S409" s="42"/>
      <c r="T409" s="42"/>
      <c r="U409" s="42"/>
      <c r="V409" s="42"/>
      <c r="W409" s="42"/>
      <c r="X409" s="42"/>
      <c r="Y409" s="42"/>
      <c r="Z409" s="42"/>
    </row>
    <row r="410" ht="57.0" customHeight="1">
      <c r="A410" s="57" t="s">
        <v>247</v>
      </c>
      <c r="B410" s="57" t="s">
        <v>114</v>
      </c>
      <c r="C410" s="57" t="s">
        <v>1440</v>
      </c>
      <c r="D410" s="57" t="s">
        <v>1441</v>
      </c>
      <c r="E410" s="57" t="s">
        <v>1442</v>
      </c>
      <c r="F410" s="58">
        <v>1200000.0</v>
      </c>
      <c r="G410" s="57" t="s">
        <v>251</v>
      </c>
      <c r="H410" s="59" t="s">
        <v>252</v>
      </c>
      <c r="I410" s="60" t="s">
        <v>253</v>
      </c>
      <c r="J410" s="61"/>
      <c r="K410" s="61"/>
      <c r="L410" s="42"/>
      <c r="M410" s="42"/>
      <c r="N410" s="42"/>
      <c r="O410" s="42"/>
      <c r="P410" s="42"/>
      <c r="Q410" s="42"/>
      <c r="R410" s="42"/>
      <c r="S410" s="42"/>
      <c r="T410" s="42"/>
      <c r="U410" s="42"/>
      <c r="V410" s="42"/>
      <c r="W410" s="42"/>
      <c r="X410" s="42"/>
      <c r="Y410" s="42"/>
      <c r="Z410" s="42"/>
    </row>
    <row r="411" ht="57.0" customHeight="1">
      <c r="A411" s="57" t="s">
        <v>247</v>
      </c>
      <c r="B411" s="57" t="s">
        <v>114</v>
      </c>
      <c r="C411" s="57" t="s">
        <v>1443</v>
      </c>
      <c r="D411" s="57" t="s">
        <v>1444</v>
      </c>
      <c r="E411" s="57" t="s">
        <v>1445</v>
      </c>
      <c r="F411" s="58">
        <v>2000000.0</v>
      </c>
      <c r="G411" s="57" t="s">
        <v>251</v>
      </c>
      <c r="H411" s="59" t="s">
        <v>252</v>
      </c>
      <c r="I411" s="60" t="s">
        <v>253</v>
      </c>
      <c r="J411" s="61"/>
      <c r="K411" s="61"/>
      <c r="L411" s="42"/>
      <c r="M411" s="42"/>
      <c r="N411" s="42"/>
      <c r="O411" s="42"/>
      <c r="P411" s="42"/>
      <c r="Q411" s="42"/>
      <c r="R411" s="42"/>
      <c r="S411" s="42"/>
      <c r="T411" s="42"/>
      <c r="U411" s="42"/>
      <c r="V411" s="42"/>
      <c r="W411" s="42"/>
      <c r="X411" s="42"/>
      <c r="Y411" s="42"/>
      <c r="Z411" s="42"/>
    </row>
    <row r="412" ht="57.0" customHeight="1">
      <c r="A412" s="57" t="s">
        <v>247</v>
      </c>
      <c r="B412" s="57" t="s">
        <v>114</v>
      </c>
      <c r="C412" s="57" t="s">
        <v>1446</v>
      </c>
      <c r="D412" s="57" t="s">
        <v>1447</v>
      </c>
      <c r="E412" s="57" t="s">
        <v>1448</v>
      </c>
      <c r="F412" s="58">
        <v>1000000.0</v>
      </c>
      <c r="G412" s="57" t="s">
        <v>251</v>
      </c>
      <c r="H412" s="59" t="s">
        <v>252</v>
      </c>
      <c r="I412" s="60" t="s">
        <v>253</v>
      </c>
      <c r="J412" s="61"/>
      <c r="K412" s="61"/>
      <c r="L412" s="42"/>
      <c r="M412" s="42"/>
      <c r="N412" s="42"/>
      <c r="O412" s="42"/>
      <c r="P412" s="42"/>
      <c r="Q412" s="42"/>
      <c r="R412" s="42"/>
      <c r="S412" s="42"/>
      <c r="T412" s="42"/>
      <c r="U412" s="42"/>
      <c r="V412" s="42"/>
      <c r="W412" s="42"/>
      <c r="X412" s="42"/>
      <c r="Y412" s="42"/>
      <c r="Z412" s="42"/>
    </row>
    <row r="413" ht="57.0" customHeight="1">
      <c r="A413" s="57" t="s">
        <v>247</v>
      </c>
      <c r="B413" s="57" t="s">
        <v>114</v>
      </c>
      <c r="C413" s="57" t="s">
        <v>1449</v>
      </c>
      <c r="D413" s="57" t="s">
        <v>1450</v>
      </c>
      <c r="E413" s="57" t="s">
        <v>1451</v>
      </c>
      <c r="F413" s="58">
        <v>1200000.0</v>
      </c>
      <c r="G413" s="57" t="s">
        <v>251</v>
      </c>
      <c r="H413" s="59" t="s">
        <v>252</v>
      </c>
      <c r="I413" s="60" t="s">
        <v>253</v>
      </c>
      <c r="J413" s="61"/>
      <c r="K413" s="61"/>
      <c r="L413" s="42"/>
      <c r="M413" s="42"/>
      <c r="N413" s="42"/>
      <c r="O413" s="42"/>
      <c r="P413" s="42"/>
      <c r="Q413" s="42"/>
      <c r="R413" s="42"/>
      <c r="S413" s="42"/>
      <c r="T413" s="42"/>
      <c r="U413" s="42"/>
      <c r="V413" s="42"/>
      <c r="W413" s="42"/>
      <c r="X413" s="42"/>
      <c r="Y413" s="42"/>
      <c r="Z413" s="42"/>
    </row>
    <row r="414" ht="57.0" customHeight="1">
      <c r="A414" s="57" t="s">
        <v>247</v>
      </c>
      <c r="B414" s="57" t="s">
        <v>114</v>
      </c>
      <c r="C414" s="57" t="s">
        <v>1452</v>
      </c>
      <c r="D414" s="57" t="s">
        <v>1453</v>
      </c>
      <c r="E414" s="57" t="s">
        <v>1454</v>
      </c>
      <c r="F414" s="58">
        <v>2500000.0</v>
      </c>
      <c r="G414" s="57" t="s">
        <v>251</v>
      </c>
      <c r="H414" s="59" t="s">
        <v>252</v>
      </c>
      <c r="I414" s="59" t="s">
        <v>472</v>
      </c>
      <c r="J414" s="61"/>
      <c r="K414" s="61"/>
      <c r="L414" s="42"/>
      <c r="M414" s="42"/>
      <c r="N414" s="42"/>
      <c r="O414" s="42"/>
      <c r="P414" s="42"/>
      <c r="Q414" s="42"/>
      <c r="R414" s="42"/>
      <c r="S414" s="42"/>
      <c r="T414" s="42"/>
      <c r="U414" s="42"/>
      <c r="V414" s="42"/>
      <c r="W414" s="42"/>
      <c r="X414" s="42"/>
      <c r="Y414" s="42"/>
      <c r="Z414" s="42"/>
    </row>
    <row r="415" ht="57.0" customHeight="1">
      <c r="A415" s="57" t="s">
        <v>247</v>
      </c>
      <c r="B415" s="57" t="s">
        <v>114</v>
      </c>
      <c r="C415" s="57" t="s">
        <v>1455</v>
      </c>
      <c r="D415" s="57" t="s">
        <v>1456</v>
      </c>
      <c r="E415" s="57" t="s">
        <v>1457</v>
      </c>
      <c r="F415" s="58">
        <v>1200000.0</v>
      </c>
      <c r="G415" s="57" t="s">
        <v>251</v>
      </c>
      <c r="H415" s="59" t="s">
        <v>252</v>
      </c>
      <c r="I415" s="59" t="s">
        <v>472</v>
      </c>
      <c r="J415" s="61"/>
      <c r="K415" s="61"/>
      <c r="L415" s="42"/>
      <c r="M415" s="42"/>
      <c r="N415" s="42"/>
      <c r="O415" s="42"/>
      <c r="P415" s="42"/>
      <c r="Q415" s="42"/>
      <c r="R415" s="42"/>
      <c r="S415" s="42"/>
      <c r="T415" s="42"/>
      <c r="U415" s="42"/>
      <c r="V415" s="42"/>
      <c r="W415" s="42"/>
      <c r="X415" s="42"/>
      <c r="Y415" s="42"/>
      <c r="Z415" s="42"/>
    </row>
    <row r="416" ht="85.5" customHeight="1">
      <c r="A416" s="57" t="s">
        <v>247</v>
      </c>
      <c r="B416" s="57" t="s">
        <v>114</v>
      </c>
      <c r="C416" s="57" t="s">
        <v>1458</v>
      </c>
      <c r="D416" s="57" t="s">
        <v>1459</v>
      </c>
      <c r="E416" s="57" t="s">
        <v>1460</v>
      </c>
      <c r="F416" s="58">
        <v>4000000.0</v>
      </c>
      <c r="G416" s="57" t="s">
        <v>251</v>
      </c>
      <c r="H416" s="59" t="s">
        <v>252</v>
      </c>
      <c r="I416" s="59" t="s">
        <v>472</v>
      </c>
      <c r="J416" s="61"/>
      <c r="K416" s="61"/>
      <c r="L416" s="42"/>
      <c r="M416" s="42"/>
      <c r="N416" s="42"/>
      <c r="O416" s="42"/>
      <c r="P416" s="42"/>
      <c r="Q416" s="42"/>
      <c r="R416" s="42"/>
      <c r="S416" s="42"/>
      <c r="T416" s="42"/>
      <c r="U416" s="42"/>
      <c r="V416" s="42"/>
      <c r="W416" s="42"/>
      <c r="X416" s="42"/>
      <c r="Y416" s="42"/>
      <c r="Z416" s="42"/>
    </row>
    <row r="417" ht="85.5" customHeight="1">
      <c r="A417" s="57" t="s">
        <v>247</v>
      </c>
      <c r="B417" s="57" t="s">
        <v>114</v>
      </c>
      <c r="C417" s="57" t="s">
        <v>1461</v>
      </c>
      <c r="D417" s="57" t="s">
        <v>1462</v>
      </c>
      <c r="E417" s="57" t="s">
        <v>1463</v>
      </c>
      <c r="F417" s="58">
        <v>4500000.0</v>
      </c>
      <c r="G417" s="57" t="s">
        <v>251</v>
      </c>
      <c r="H417" s="59" t="s">
        <v>252</v>
      </c>
      <c r="I417" s="59" t="s">
        <v>272</v>
      </c>
      <c r="J417" s="61"/>
      <c r="K417" s="61"/>
      <c r="L417" s="42"/>
      <c r="M417" s="42"/>
      <c r="N417" s="42"/>
      <c r="O417" s="42"/>
      <c r="P417" s="42"/>
      <c r="Q417" s="42"/>
      <c r="R417" s="42"/>
      <c r="S417" s="42"/>
      <c r="T417" s="42"/>
      <c r="U417" s="42"/>
      <c r="V417" s="42"/>
      <c r="W417" s="42"/>
      <c r="X417" s="42"/>
      <c r="Y417" s="42"/>
      <c r="Z417" s="42"/>
    </row>
    <row r="418" ht="30.75" customHeight="1">
      <c r="A418" s="52" t="s">
        <v>247</v>
      </c>
      <c r="B418" s="52" t="s">
        <v>117</v>
      </c>
      <c r="C418" s="52" t="s">
        <v>118</v>
      </c>
      <c r="D418" s="52" t="s">
        <v>119</v>
      </c>
      <c r="E418" s="52"/>
      <c r="F418" s="62"/>
      <c r="G418" s="52"/>
      <c r="H418" s="63"/>
      <c r="I418" s="63"/>
      <c r="J418" s="54"/>
      <c r="K418" s="54"/>
      <c r="L418" s="56"/>
      <c r="M418" s="56"/>
      <c r="N418" s="56"/>
      <c r="O418" s="56"/>
      <c r="P418" s="56"/>
      <c r="Q418" s="56"/>
      <c r="R418" s="56"/>
      <c r="S418" s="56"/>
      <c r="T418" s="56"/>
      <c r="U418" s="56"/>
      <c r="V418" s="56"/>
      <c r="W418" s="56"/>
      <c r="X418" s="56"/>
      <c r="Y418" s="56"/>
      <c r="Z418" s="56"/>
    </row>
    <row r="419" ht="85.5" customHeight="1">
      <c r="A419" s="57" t="s">
        <v>247</v>
      </c>
      <c r="B419" s="57" t="s">
        <v>117</v>
      </c>
      <c r="C419" s="57" t="s">
        <v>1464</v>
      </c>
      <c r="D419" s="57" t="s">
        <v>1465</v>
      </c>
      <c r="E419" s="57" t="s">
        <v>1466</v>
      </c>
      <c r="F419" s="58">
        <v>100000.0</v>
      </c>
      <c r="G419" s="57" t="s">
        <v>251</v>
      </c>
      <c r="H419" s="59" t="s">
        <v>252</v>
      </c>
      <c r="I419" s="60" t="s">
        <v>253</v>
      </c>
      <c r="J419" s="61"/>
      <c r="K419" s="61"/>
      <c r="L419" s="42"/>
      <c r="M419" s="42"/>
      <c r="N419" s="42"/>
      <c r="O419" s="42"/>
      <c r="P419" s="42"/>
      <c r="Q419" s="42"/>
      <c r="R419" s="42"/>
      <c r="S419" s="42"/>
      <c r="T419" s="42"/>
      <c r="U419" s="42"/>
      <c r="V419" s="42"/>
      <c r="W419" s="42"/>
      <c r="X419" s="42"/>
      <c r="Y419" s="42"/>
      <c r="Z419" s="42"/>
    </row>
    <row r="420" ht="85.5" customHeight="1">
      <c r="A420" s="57" t="s">
        <v>247</v>
      </c>
      <c r="B420" s="57" t="s">
        <v>117</v>
      </c>
      <c r="C420" s="57" t="s">
        <v>1467</v>
      </c>
      <c r="D420" s="57" t="s">
        <v>1468</v>
      </c>
      <c r="E420" s="57" t="s">
        <v>1469</v>
      </c>
      <c r="F420" s="58">
        <v>1500000.0</v>
      </c>
      <c r="G420" s="57" t="s">
        <v>251</v>
      </c>
      <c r="H420" s="59" t="s">
        <v>252</v>
      </c>
      <c r="I420" s="60" t="s">
        <v>253</v>
      </c>
      <c r="J420" s="61"/>
      <c r="K420" s="61"/>
      <c r="L420" s="42"/>
      <c r="M420" s="42"/>
      <c r="N420" s="42"/>
      <c r="O420" s="42"/>
      <c r="P420" s="42"/>
      <c r="Q420" s="42"/>
      <c r="R420" s="42"/>
      <c r="S420" s="42"/>
      <c r="T420" s="42"/>
      <c r="U420" s="42"/>
      <c r="V420" s="42"/>
      <c r="W420" s="42"/>
      <c r="X420" s="42"/>
      <c r="Y420" s="42"/>
      <c r="Z420" s="42"/>
    </row>
    <row r="421" ht="85.5" customHeight="1">
      <c r="A421" s="57" t="s">
        <v>247</v>
      </c>
      <c r="B421" s="57" t="s">
        <v>117</v>
      </c>
      <c r="C421" s="57" t="s">
        <v>1470</v>
      </c>
      <c r="D421" s="57" t="s">
        <v>1471</v>
      </c>
      <c r="E421" s="57" t="s">
        <v>1472</v>
      </c>
      <c r="F421" s="58">
        <v>1000000.0</v>
      </c>
      <c r="G421" s="57" t="s">
        <v>251</v>
      </c>
      <c r="H421" s="59" t="s">
        <v>252</v>
      </c>
      <c r="I421" s="60" t="s">
        <v>253</v>
      </c>
      <c r="J421" s="61"/>
      <c r="K421" s="61"/>
      <c r="L421" s="42"/>
      <c r="M421" s="42"/>
      <c r="N421" s="42"/>
      <c r="O421" s="42"/>
      <c r="P421" s="42"/>
      <c r="Q421" s="42"/>
      <c r="R421" s="42"/>
      <c r="S421" s="42"/>
      <c r="T421" s="42"/>
      <c r="U421" s="42"/>
      <c r="V421" s="42"/>
      <c r="W421" s="42"/>
      <c r="X421" s="42"/>
      <c r="Y421" s="42"/>
      <c r="Z421" s="42"/>
    </row>
    <row r="422" ht="85.5" customHeight="1">
      <c r="A422" s="57" t="s">
        <v>247</v>
      </c>
      <c r="B422" s="57" t="s">
        <v>117</v>
      </c>
      <c r="C422" s="57" t="s">
        <v>1473</v>
      </c>
      <c r="D422" s="57" t="s">
        <v>1474</v>
      </c>
      <c r="E422" s="57" t="s">
        <v>1475</v>
      </c>
      <c r="F422" s="58">
        <v>1400000.0</v>
      </c>
      <c r="G422" s="57" t="s">
        <v>251</v>
      </c>
      <c r="H422" s="59" t="s">
        <v>252</v>
      </c>
      <c r="I422" s="60" t="s">
        <v>253</v>
      </c>
      <c r="J422" s="61"/>
      <c r="K422" s="61"/>
      <c r="L422" s="42"/>
      <c r="M422" s="42"/>
      <c r="N422" s="42"/>
      <c r="O422" s="42"/>
      <c r="P422" s="42"/>
      <c r="Q422" s="42"/>
      <c r="R422" s="42"/>
      <c r="S422" s="42"/>
      <c r="T422" s="42"/>
      <c r="U422" s="42"/>
      <c r="V422" s="42"/>
      <c r="W422" s="42"/>
      <c r="X422" s="42"/>
      <c r="Y422" s="42"/>
      <c r="Z422" s="42"/>
    </row>
    <row r="423" ht="85.5" customHeight="1">
      <c r="A423" s="57" t="s">
        <v>247</v>
      </c>
      <c r="B423" s="57" t="s">
        <v>117</v>
      </c>
      <c r="C423" s="57" t="s">
        <v>1476</v>
      </c>
      <c r="D423" s="57" t="s">
        <v>1477</v>
      </c>
      <c r="E423" s="57" t="s">
        <v>1478</v>
      </c>
      <c r="F423" s="58">
        <v>120000.0</v>
      </c>
      <c r="G423" s="57" t="s">
        <v>251</v>
      </c>
      <c r="H423" s="59" t="s">
        <v>252</v>
      </c>
      <c r="I423" s="60" t="s">
        <v>253</v>
      </c>
      <c r="J423" s="61"/>
      <c r="K423" s="61"/>
      <c r="L423" s="42"/>
      <c r="M423" s="42"/>
      <c r="N423" s="42"/>
      <c r="O423" s="42"/>
      <c r="P423" s="42"/>
      <c r="Q423" s="42"/>
      <c r="R423" s="42"/>
      <c r="S423" s="42"/>
      <c r="T423" s="42"/>
      <c r="U423" s="42"/>
      <c r="V423" s="42"/>
      <c r="W423" s="42"/>
      <c r="X423" s="42"/>
      <c r="Y423" s="42"/>
      <c r="Z423" s="42"/>
    </row>
    <row r="424" ht="85.5" customHeight="1">
      <c r="A424" s="57" t="s">
        <v>247</v>
      </c>
      <c r="B424" s="57" t="s">
        <v>117</v>
      </c>
      <c r="C424" s="57" t="s">
        <v>1479</v>
      </c>
      <c r="D424" s="57" t="s">
        <v>1480</v>
      </c>
      <c r="E424" s="57" t="s">
        <v>1481</v>
      </c>
      <c r="F424" s="58">
        <v>150000.0</v>
      </c>
      <c r="G424" s="57" t="s">
        <v>251</v>
      </c>
      <c r="H424" s="59" t="s">
        <v>252</v>
      </c>
      <c r="I424" s="60" t="s">
        <v>253</v>
      </c>
      <c r="J424" s="61"/>
      <c r="K424" s="61"/>
      <c r="L424" s="42"/>
      <c r="M424" s="42"/>
      <c r="N424" s="42"/>
      <c r="O424" s="42"/>
      <c r="P424" s="42"/>
      <c r="Q424" s="42"/>
      <c r="R424" s="42"/>
      <c r="S424" s="42"/>
      <c r="T424" s="42"/>
      <c r="U424" s="42"/>
      <c r="V424" s="42"/>
      <c r="W424" s="42"/>
      <c r="X424" s="42"/>
      <c r="Y424" s="42"/>
      <c r="Z424" s="42"/>
    </row>
    <row r="425" ht="85.5" customHeight="1">
      <c r="A425" s="57" t="s">
        <v>247</v>
      </c>
      <c r="B425" s="57" t="s">
        <v>117</v>
      </c>
      <c r="C425" s="57" t="s">
        <v>1482</v>
      </c>
      <c r="D425" s="57" t="s">
        <v>1483</v>
      </c>
      <c r="E425" s="57" t="s">
        <v>1484</v>
      </c>
      <c r="F425" s="58">
        <v>1500000.0</v>
      </c>
      <c r="G425" s="57" t="s">
        <v>251</v>
      </c>
      <c r="H425" s="59" t="s">
        <v>252</v>
      </c>
      <c r="I425" s="60" t="s">
        <v>253</v>
      </c>
      <c r="J425" s="61"/>
      <c r="K425" s="61"/>
      <c r="L425" s="42"/>
      <c r="M425" s="42"/>
      <c r="N425" s="42"/>
      <c r="O425" s="42"/>
      <c r="P425" s="42"/>
      <c r="Q425" s="42"/>
      <c r="R425" s="42"/>
      <c r="S425" s="42"/>
      <c r="T425" s="42"/>
      <c r="U425" s="42"/>
      <c r="V425" s="42"/>
      <c r="W425" s="42"/>
      <c r="X425" s="42"/>
      <c r="Y425" s="42"/>
      <c r="Z425" s="42"/>
    </row>
    <row r="426" ht="85.5" customHeight="1">
      <c r="A426" s="57" t="s">
        <v>247</v>
      </c>
      <c r="B426" s="57" t="s">
        <v>117</v>
      </c>
      <c r="C426" s="57" t="s">
        <v>1485</v>
      </c>
      <c r="D426" s="57" t="s">
        <v>1486</v>
      </c>
      <c r="E426" s="57" t="s">
        <v>1487</v>
      </c>
      <c r="F426" s="58">
        <v>7000000.0</v>
      </c>
      <c r="G426" s="57" t="s">
        <v>251</v>
      </c>
      <c r="H426" s="59" t="s">
        <v>252</v>
      </c>
      <c r="I426" s="60" t="s">
        <v>253</v>
      </c>
      <c r="J426" s="61"/>
      <c r="K426" s="61"/>
      <c r="L426" s="42"/>
      <c r="M426" s="42"/>
      <c r="N426" s="42"/>
      <c r="O426" s="42"/>
      <c r="P426" s="42"/>
      <c r="Q426" s="42"/>
      <c r="R426" s="42"/>
      <c r="S426" s="42"/>
      <c r="T426" s="42"/>
      <c r="U426" s="42"/>
      <c r="V426" s="42"/>
      <c r="W426" s="42"/>
      <c r="X426" s="42"/>
      <c r="Y426" s="42"/>
      <c r="Z426" s="42"/>
    </row>
    <row r="427" ht="85.5" customHeight="1">
      <c r="A427" s="57" t="s">
        <v>247</v>
      </c>
      <c r="B427" s="57" t="s">
        <v>117</v>
      </c>
      <c r="C427" s="57" t="s">
        <v>1488</v>
      </c>
      <c r="D427" s="57" t="s">
        <v>1489</v>
      </c>
      <c r="E427" s="57" t="s">
        <v>1490</v>
      </c>
      <c r="F427" s="58">
        <v>1500000.0</v>
      </c>
      <c r="G427" s="57" t="s">
        <v>251</v>
      </c>
      <c r="H427" s="59" t="s">
        <v>252</v>
      </c>
      <c r="I427" s="60" t="s">
        <v>253</v>
      </c>
      <c r="J427" s="61"/>
      <c r="K427" s="61"/>
      <c r="L427" s="42"/>
      <c r="M427" s="42"/>
      <c r="N427" s="42"/>
      <c r="O427" s="42"/>
      <c r="P427" s="42"/>
      <c r="Q427" s="42"/>
      <c r="R427" s="42"/>
      <c r="S427" s="42"/>
      <c r="T427" s="42"/>
      <c r="U427" s="42"/>
      <c r="V427" s="42"/>
      <c r="W427" s="42"/>
      <c r="X427" s="42"/>
      <c r="Y427" s="42"/>
      <c r="Z427" s="42"/>
    </row>
    <row r="428" ht="85.5" customHeight="1">
      <c r="A428" s="57" t="s">
        <v>247</v>
      </c>
      <c r="B428" s="57" t="s">
        <v>117</v>
      </c>
      <c r="C428" s="57" t="s">
        <v>1491</v>
      </c>
      <c r="D428" s="57" t="s">
        <v>1492</v>
      </c>
      <c r="E428" s="57" t="s">
        <v>1493</v>
      </c>
      <c r="F428" s="58">
        <v>3000000.0</v>
      </c>
      <c r="G428" s="57" t="s">
        <v>251</v>
      </c>
      <c r="H428" s="59" t="s">
        <v>252</v>
      </c>
      <c r="I428" s="60" t="s">
        <v>253</v>
      </c>
      <c r="J428" s="61"/>
      <c r="K428" s="61"/>
      <c r="L428" s="42"/>
      <c r="M428" s="42"/>
      <c r="N428" s="42"/>
      <c r="O428" s="42"/>
      <c r="P428" s="42"/>
      <c r="Q428" s="42"/>
      <c r="R428" s="42"/>
      <c r="S428" s="42"/>
      <c r="T428" s="42"/>
      <c r="U428" s="42"/>
      <c r="V428" s="42"/>
      <c r="W428" s="42"/>
      <c r="X428" s="42"/>
      <c r="Y428" s="42"/>
      <c r="Z428" s="42"/>
    </row>
    <row r="429" ht="85.5" customHeight="1">
      <c r="A429" s="57" t="s">
        <v>247</v>
      </c>
      <c r="B429" s="57" t="s">
        <v>117</v>
      </c>
      <c r="C429" s="57" t="s">
        <v>1494</v>
      </c>
      <c r="D429" s="57" t="s">
        <v>1495</v>
      </c>
      <c r="E429" s="57" t="s">
        <v>1496</v>
      </c>
      <c r="F429" s="58">
        <v>2600000.0</v>
      </c>
      <c r="G429" s="57" t="s">
        <v>251</v>
      </c>
      <c r="H429" s="59" t="s">
        <v>252</v>
      </c>
      <c r="I429" s="60" t="s">
        <v>253</v>
      </c>
      <c r="J429" s="61"/>
      <c r="K429" s="61"/>
      <c r="L429" s="42"/>
      <c r="M429" s="42"/>
      <c r="N429" s="42"/>
      <c r="O429" s="42"/>
      <c r="P429" s="42"/>
      <c r="Q429" s="42"/>
      <c r="R429" s="42"/>
      <c r="S429" s="42"/>
      <c r="T429" s="42"/>
      <c r="U429" s="42"/>
      <c r="V429" s="42"/>
      <c r="W429" s="42"/>
      <c r="X429" s="42"/>
      <c r="Y429" s="42"/>
      <c r="Z429" s="42"/>
    </row>
    <row r="430" ht="85.5" customHeight="1">
      <c r="A430" s="57" t="s">
        <v>247</v>
      </c>
      <c r="B430" s="57" t="s">
        <v>117</v>
      </c>
      <c r="C430" s="57" t="s">
        <v>1497</v>
      </c>
      <c r="D430" s="57" t="s">
        <v>1498</v>
      </c>
      <c r="E430" s="57" t="s">
        <v>1499</v>
      </c>
      <c r="F430" s="58">
        <v>1000000.0</v>
      </c>
      <c r="G430" s="57" t="s">
        <v>251</v>
      </c>
      <c r="H430" s="59" t="s">
        <v>252</v>
      </c>
      <c r="I430" s="60" t="s">
        <v>253</v>
      </c>
      <c r="J430" s="61"/>
      <c r="K430" s="61"/>
      <c r="L430" s="42"/>
      <c r="M430" s="42"/>
      <c r="N430" s="42"/>
      <c r="O430" s="42"/>
      <c r="P430" s="42"/>
      <c r="Q430" s="42"/>
      <c r="R430" s="42"/>
      <c r="S430" s="42"/>
      <c r="T430" s="42"/>
      <c r="U430" s="42"/>
      <c r="V430" s="42"/>
      <c r="W430" s="42"/>
      <c r="X430" s="42"/>
      <c r="Y430" s="42"/>
      <c r="Z430" s="42"/>
    </row>
    <row r="431" ht="85.5" customHeight="1">
      <c r="A431" s="57" t="s">
        <v>247</v>
      </c>
      <c r="B431" s="57" t="s">
        <v>117</v>
      </c>
      <c r="C431" s="57" t="s">
        <v>1500</v>
      </c>
      <c r="D431" s="57" t="s">
        <v>1501</v>
      </c>
      <c r="E431" s="57" t="s">
        <v>1502</v>
      </c>
      <c r="F431" s="58">
        <v>1600000.0</v>
      </c>
      <c r="G431" s="57" t="s">
        <v>251</v>
      </c>
      <c r="H431" s="59" t="s">
        <v>252</v>
      </c>
      <c r="I431" s="60" t="s">
        <v>253</v>
      </c>
      <c r="J431" s="61"/>
      <c r="K431" s="61"/>
      <c r="L431" s="42"/>
      <c r="M431" s="42"/>
      <c r="N431" s="42"/>
      <c r="O431" s="42"/>
      <c r="P431" s="42"/>
      <c r="Q431" s="42"/>
      <c r="R431" s="42"/>
      <c r="S431" s="42"/>
      <c r="T431" s="42"/>
      <c r="U431" s="42"/>
      <c r="V431" s="42"/>
      <c r="W431" s="42"/>
      <c r="X431" s="42"/>
      <c r="Y431" s="42"/>
      <c r="Z431" s="42"/>
    </row>
    <row r="432" ht="85.5" customHeight="1">
      <c r="A432" s="57" t="s">
        <v>247</v>
      </c>
      <c r="B432" s="57" t="s">
        <v>117</v>
      </c>
      <c r="C432" s="57" t="s">
        <v>1503</v>
      </c>
      <c r="D432" s="57" t="s">
        <v>1504</v>
      </c>
      <c r="E432" s="57" t="s">
        <v>1505</v>
      </c>
      <c r="F432" s="58">
        <v>2000000.0</v>
      </c>
      <c r="G432" s="57" t="s">
        <v>251</v>
      </c>
      <c r="H432" s="59" t="s">
        <v>252</v>
      </c>
      <c r="I432" s="60" t="s">
        <v>253</v>
      </c>
      <c r="J432" s="61"/>
      <c r="K432" s="61"/>
      <c r="L432" s="42"/>
      <c r="M432" s="42"/>
      <c r="N432" s="42"/>
      <c r="O432" s="42"/>
      <c r="P432" s="42"/>
      <c r="Q432" s="42"/>
      <c r="R432" s="42"/>
      <c r="S432" s="42"/>
      <c r="T432" s="42"/>
      <c r="U432" s="42"/>
      <c r="V432" s="42"/>
      <c r="W432" s="42"/>
      <c r="X432" s="42"/>
      <c r="Y432" s="42"/>
      <c r="Z432" s="42"/>
    </row>
    <row r="433" ht="85.5" customHeight="1">
      <c r="A433" s="57" t="s">
        <v>247</v>
      </c>
      <c r="B433" s="57" t="s">
        <v>117</v>
      </c>
      <c r="C433" s="57" t="s">
        <v>1506</v>
      </c>
      <c r="D433" s="57" t="s">
        <v>1507</v>
      </c>
      <c r="E433" s="57" t="s">
        <v>1508</v>
      </c>
      <c r="F433" s="58">
        <v>3600000.0</v>
      </c>
      <c r="G433" s="57" t="s">
        <v>251</v>
      </c>
      <c r="H433" s="59" t="s">
        <v>252</v>
      </c>
      <c r="I433" s="60" t="s">
        <v>253</v>
      </c>
      <c r="J433" s="61"/>
      <c r="K433" s="61"/>
      <c r="L433" s="42"/>
      <c r="M433" s="42"/>
      <c r="N433" s="42"/>
      <c r="O433" s="42"/>
      <c r="P433" s="42"/>
      <c r="Q433" s="42"/>
      <c r="R433" s="42"/>
      <c r="S433" s="42"/>
      <c r="T433" s="42"/>
      <c r="U433" s="42"/>
      <c r="V433" s="42"/>
      <c r="W433" s="42"/>
      <c r="X433" s="42"/>
      <c r="Y433" s="42"/>
      <c r="Z433" s="42"/>
    </row>
    <row r="434" ht="85.5" customHeight="1">
      <c r="A434" s="57" t="s">
        <v>247</v>
      </c>
      <c r="B434" s="57" t="s">
        <v>117</v>
      </c>
      <c r="C434" s="57" t="s">
        <v>1509</v>
      </c>
      <c r="D434" s="57" t="s">
        <v>1510</v>
      </c>
      <c r="E434" s="57" t="s">
        <v>1511</v>
      </c>
      <c r="F434" s="58">
        <v>150000.0</v>
      </c>
      <c r="G434" s="57" t="s">
        <v>251</v>
      </c>
      <c r="H434" s="59" t="s">
        <v>252</v>
      </c>
      <c r="I434" s="60" t="s">
        <v>253</v>
      </c>
      <c r="J434" s="61"/>
      <c r="K434" s="61"/>
      <c r="L434" s="42"/>
      <c r="M434" s="42"/>
      <c r="N434" s="42"/>
      <c r="O434" s="42"/>
      <c r="P434" s="42"/>
      <c r="Q434" s="42"/>
      <c r="R434" s="42"/>
      <c r="S434" s="42"/>
      <c r="T434" s="42"/>
      <c r="U434" s="42"/>
      <c r="V434" s="42"/>
      <c r="W434" s="42"/>
      <c r="X434" s="42"/>
      <c r="Y434" s="42"/>
      <c r="Z434" s="42"/>
    </row>
    <row r="435" ht="85.5" customHeight="1">
      <c r="A435" s="57" t="s">
        <v>247</v>
      </c>
      <c r="B435" s="57" t="s">
        <v>117</v>
      </c>
      <c r="C435" s="57" t="s">
        <v>1512</v>
      </c>
      <c r="D435" s="57" t="s">
        <v>1513</v>
      </c>
      <c r="E435" s="57" t="s">
        <v>1514</v>
      </c>
      <c r="F435" s="58">
        <v>100000.0</v>
      </c>
      <c r="G435" s="57" t="s">
        <v>251</v>
      </c>
      <c r="H435" s="59" t="s">
        <v>252</v>
      </c>
      <c r="I435" s="60" t="s">
        <v>253</v>
      </c>
      <c r="J435" s="61"/>
      <c r="K435" s="61"/>
      <c r="L435" s="42"/>
      <c r="M435" s="42"/>
      <c r="N435" s="42"/>
      <c r="O435" s="42"/>
      <c r="P435" s="42"/>
      <c r="Q435" s="42"/>
      <c r="R435" s="42"/>
      <c r="S435" s="42"/>
      <c r="T435" s="42"/>
      <c r="U435" s="42"/>
      <c r="V435" s="42"/>
      <c r="W435" s="42"/>
      <c r="X435" s="42"/>
      <c r="Y435" s="42"/>
      <c r="Z435" s="42"/>
    </row>
    <row r="436" ht="85.5" customHeight="1">
      <c r="A436" s="57" t="s">
        <v>247</v>
      </c>
      <c r="B436" s="57" t="s">
        <v>117</v>
      </c>
      <c r="C436" s="57" t="s">
        <v>1515</v>
      </c>
      <c r="D436" s="57" t="s">
        <v>1516</v>
      </c>
      <c r="E436" s="57" t="s">
        <v>1517</v>
      </c>
      <c r="F436" s="58">
        <v>300000.0</v>
      </c>
      <c r="G436" s="57" t="s">
        <v>251</v>
      </c>
      <c r="H436" s="59" t="s">
        <v>252</v>
      </c>
      <c r="I436" s="60" t="s">
        <v>253</v>
      </c>
      <c r="J436" s="61"/>
      <c r="K436" s="61"/>
      <c r="L436" s="42"/>
      <c r="M436" s="42"/>
      <c r="N436" s="42"/>
      <c r="O436" s="42"/>
      <c r="P436" s="42"/>
      <c r="Q436" s="42"/>
      <c r="R436" s="42"/>
      <c r="S436" s="42"/>
      <c r="T436" s="42"/>
      <c r="U436" s="42"/>
      <c r="V436" s="42"/>
      <c r="W436" s="42"/>
      <c r="X436" s="42"/>
      <c r="Y436" s="42"/>
      <c r="Z436" s="42"/>
    </row>
    <row r="437" ht="85.5" customHeight="1">
      <c r="A437" s="57" t="s">
        <v>247</v>
      </c>
      <c r="B437" s="57" t="s">
        <v>117</v>
      </c>
      <c r="C437" s="57" t="s">
        <v>1518</v>
      </c>
      <c r="D437" s="57" t="s">
        <v>1519</v>
      </c>
      <c r="E437" s="57" t="s">
        <v>1520</v>
      </c>
      <c r="F437" s="58">
        <v>640000.0</v>
      </c>
      <c r="G437" s="57" t="s">
        <v>251</v>
      </c>
      <c r="H437" s="59" t="s">
        <v>252</v>
      </c>
      <c r="I437" s="60" t="s">
        <v>253</v>
      </c>
      <c r="J437" s="61"/>
      <c r="K437" s="61"/>
      <c r="L437" s="42"/>
      <c r="M437" s="42"/>
      <c r="N437" s="42"/>
      <c r="O437" s="42"/>
      <c r="P437" s="42"/>
      <c r="Q437" s="42"/>
      <c r="R437" s="42"/>
      <c r="S437" s="42"/>
      <c r="T437" s="42"/>
      <c r="U437" s="42"/>
      <c r="V437" s="42"/>
      <c r="W437" s="42"/>
      <c r="X437" s="42"/>
      <c r="Y437" s="42"/>
      <c r="Z437" s="42"/>
    </row>
    <row r="438" ht="85.5" customHeight="1">
      <c r="A438" s="57" t="s">
        <v>247</v>
      </c>
      <c r="B438" s="57" t="s">
        <v>117</v>
      </c>
      <c r="C438" s="57" t="s">
        <v>1521</v>
      </c>
      <c r="D438" s="57" t="s">
        <v>1522</v>
      </c>
      <c r="E438" s="57" t="s">
        <v>1523</v>
      </c>
      <c r="F438" s="58">
        <v>35000.0</v>
      </c>
      <c r="G438" s="57" t="s">
        <v>251</v>
      </c>
      <c r="H438" s="59" t="s">
        <v>252</v>
      </c>
      <c r="I438" s="60" t="s">
        <v>472</v>
      </c>
      <c r="J438" s="61"/>
      <c r="K438" s="61"/>
      <c r="L438" s="42"/>
      <c r="M438" s="42"/>
      <c r="N438" s="42"/>
      <c r="O438" s="42"/>
      <c r="P438" s="42"/>
      <c r="Q438" s="42"/>
      <c r="R438" s="42"/>
      <c r="S438" s="42"/>
      <c r="T438" s="42"/>
      <c r="U438" s="42"/>
      <c r="V438" s="42"/>
      <c r="W438" s="42"/>
      <c r="X438" s="42"/>
      <c r="Y438" s="42"/>
      <c r="Z438" s="42"/>
    </row>
    <row r="439" ht="85.5" customHeight="1">
      <c r="A439" s="57" t="s">
        <v>247</v>
      </c>
      <c r="B439" s="57" t="s">
        <v>117</v>
      </c>
      <c r="C439" s="57" t="s">
        <v>1524</v>
      </c>
      <c r="D439" s="57" t="s">
        <v>1525</v>
      </c>
      <c r="E439" s="57" t="s">
        <v>1526</v>
      </c>
      <c r="F439" s="58">
        <v>1200000.0</v>
      </c>
      <c r="G439" s="57" t="s">
        <v>251</v>
      </c>
      <c r="H439" s="59" t="s">
        <v>252</v>
      </c>
      <c r="I439" s="60" t="s">
        <v>253</v>
      </c>
      <c r="J439" s="61"/>
      <c r="K439" s="61"/>
      <c r="L439" s="42"/>
      <c r="M439" s="42"/>
      <c r="N439" s="42"/>
      <c r="O439" s="42"/>
      <c r="P439" s="42"/>
      <c r="Q439" s="42"/>
      <c r="R439" s="42"/>
      <c r="S439" s="42"/>
      <c r="T439" s="42"/>
      <c r="U439" s="42"/>
      <c r="V439" s="42"/>
      <c r="W439" s="42"/>
      <c r="X439" s="42"/>
      <c r="Y439" s="42"/>
      <c r="Z439" s="42"/>
    </row>
    <row r="440" ht="85.5" customHeight="1">
      <c r="A440" s="57" t="s">
        <v>247</v>
      </c>
      <c r="B440" s="57" t="s">
        <v>117</v>
      </c>
      <c r="C440" s="57" t="s">
        <v>1527</v>
      </c>
      <c r="D440" s="57" t="s">
        <v>1528</v>
      </c>
      <c r="E440" s="57" t="s">
        <v>1529</v>
      </c>
      <c r="F440" s="58">
        <v>3000.0</v>
      </c>
      <c r="G440" s="57" t="s">
        <v>251</v>
      </c>
      <c r="H440" s="59" t="s">
        <v>252</v>
      </c>
      <c r="I440" s="60" t="s">
        <v>253</v>
      </c>
      <c r="J440" s="61"/>
      <c r="K440" s="61"/>
      <c r="L440" s="42"/>
      <c r="M440" s="42"/>
      <c r="N440" s="42"/>
      <c r="O440" s="42"/>
      <c r="P440" s="42"/>
      <c r="Q440" s="42"/>
      <c r="R440" s="42"/>
      <c r="S440" s="42"/>
      <c r="T440" s="42"/>
      <c r="U440" s="42"/>
      <c r="V440" s="42"/>
      <c r="W440" s="42"/>
      <c r="X440" s="42"/>
      <c r="Y440" s="42"/>
      <c r="Z440" s="42"/>
    </row>
    <row r="441" ht="85.5" customHeight="1">
      <c r="A441" s="57" t="s">
        <v>247</v>
      </c>
      <c r="B441" s="57" t="s">
        <v>117</v>
      </c>
      <c r="C441" s="57" t="s">
        <v>1530</v>
      </c>
      <c r="D441" s="57" t="s">
        <v>1531</v>
      </c>
      <c r="E441" s="57" t="s">
        <v>1532</v>
      </c>
      <c r="F441" s="58">
        <v>75000.0</v>
      </c>
      <c r="G441" s="57" t="s">
        <v>251</v>
      </c>
      <c r="H441" s="59" t="s">
        <v>252</v>
      </c>
      <c r="I441" s="60" t="s">
        <v>253</v>
      </c>
      <c r="J441" s="61"/>
      <c r="K441" s="61"/>
      <c r="L441" s="42"/>
      <c r="M441" s="42"/>
      <c r="N441" s="42"/>
      <c r="O441" s="42"/>
      <c r="P441" s="42"/>
      <c r="Q441" s="42"/>
      <c r="R441" s="42"/>
      <c r="S441" s="42"/>
      <c r="T441" s="42"/>
      <c r="U441" s="42"/>
      <c r="V441" s="42"/>
      <c r="W441" s="42"/>
      <c r="X441" s="42"/>
      <c r="Y441" s="42"/>
      <c r="Z441" s="42"/>
    </row>
    <row r="442" ht="85.5" customHeight="1">
      <c r="A442" s="57" t="s">
        <v>247</v>
      </c>
      <c r="B442" s="57" t="s">
        <v>117</v>
      </c>
      <c r="C442" s="57" t="s">
        <v>1533</v>
      </c>
      <c r="D442" s="57" t="s">
        <v>1534</v>
      </c>
      <c r="E442" s="57" t="s">
        <v>1535</v>
      </c>
      <c r="F442" s="58">
        <v>7900.0</v>
      </c>
      <c r="G442" s="57" t="s">
        <v>251</v>
      </c>
      <c r="H442" s="59" t="s">
        <v>252</v>
      </c>
      <c r="I442" s="60" t="s">
        <v>253</v>
      </c>
      <c r="J442" s="61"/>
      <c r="K442" s="61"/>
      <c r="L442" s="42"/>
      <c r="M442" s="42"/>
      <c r="N442" s="42"/>
      <c r="O442" s="42"/>
      <c r="P442" s="42"/>
      <c r="Q442" s="42"/>
      <c r="R442" s="42"/>
      <c r="S442" s="42"/>
      <c r="T442" s="42"/>
      <c r="U442" s="42"/>
      <c r="V442" s="42"/>
      <c r="W442" s="42"/>
      <c r="X442" s="42"/>
      <c r="Y442" s="42"/>
      <c r="Z442" s="42"/>
    </row>
    <row r="443" ht="85.5" customHeight="1">
      <c r="A443" s="57" t="s">
        <v>247</v>
      </c>
      <c r="B443" s="57" t="s">
        <v>117</v>
      </c>
      <c r="C443" s="57" t="s">
        <v>1536</v>
      </c>
      <c r="D443" s="57" t="s">
        <v>1537</v>
      </c>
      <c r="E443" s="57" t="s">
        <v>1538</v>
      </c>
      <c r="F443" s="58">
        <v>25000.0</v>
      </c>
      <c r="G443" s="57" t="s">
        <v>251</v>
      </c>
      <c r="H443" s="59" t="s">
        <v>252</v>
      </c>
      <c r="I443" s="60" t="s">
        <v>253</v>
      </c>
      <c r="J443" s="61"/>
      <c r="K443" s="61"/>
      <c r="L443" s="42"/>
      <c r="M443" s="42"/>
      <c r="N443" s="42"/>
      <c r="O443" s="42"/>
      <c r="P443" s="42"/>
      <c r="Q443" s="42"/>
      <c r="R443" s="42"/>
      <c r="S443" s="42"/>
      <c r="T443" s="42"/>
      <c r="U443" s="42"/>
      <c r="V443" s="42"/>
      <c r="W443" s="42"/>
      <c r="X443" s="42"/>
      <c r="Y443" s="42"/>
      <c r="Z443" s="42"/>
    </row>
    <row r="444" ht="85.5" customHeight="1">
      <c r="A444" s="57" t="s">
        <v>247</v>
      </c>
      <c r="B444" s="57" t="s">
        <v>117</v>
      </c>
      <c r="C444" s="57" t="s">
        <v>1539</v>
      </c>
      <c r="D444" s="57" t="s">
        <v>1540</v>
      </c>
      <c r="E444" s="57" t="s">
        <v>1541</v>
      </c>
      <c r="F444" s="58">
        <v>100000.0</v>
      </c>
      <c r="G444" s="57" t="s">
        <v>251</v>
      </c>
      <c r="H444" s="59" t="s">
        <v>252</v>
      </c>
      <c r="I444" s="60" t="s">
        <v>253</v>
      </c>
      <c r="J444" s="61"/>
      <c r="K444" s="61"/>
      <c r="L444" s="42"/>
      <c r="M444" s="42"/>
      <c r="N444" s="42"/>
      <c r="O444" s="42"/>
      <c r="P444" s="42"/>
      <c r="Q444" s="42"/>
      <c r="R444" s="42"/>
      <c r="S444" s="42"/>
      <c r="T444" s="42"/>
      <c r="U444" s="42"/>
      <c r="V444" s="42"/>
      <c r="W444" s="42"/>
      <c r="X444" s="42"/>
      <c r="Y444" s="42"/>
      <c r="Z444" s="42"/>
    </row>
    <row r="445" ht="85.5" customHeight="1">
      <c r="A445" s="57" t="s">
        <v>247</v>
      </c>
      <c r="B445" s="57" t="s">
        <v>117</v>
      </c>
      <c r="C445" s="57" t="s">
        <v>1542</v>
      </c>
      <c r="D445" s="57" t="s">
        <v>1543</v>
      </c>
      <c r="E445" s="57" t="s">
        <v>1544</v>
      </c>
      <c r="F445" s="58">
        <v>100000.0</v>
      </c>
      <c r="G445" s="57" t="s">
        <v>251</v>
      </c>
      <c r="H445" s="59" t="s">
        <v>252</v>
      </c>
      <c r="I445" s="60" t="s">
        <v>253</v>
      </c>
      <c r="J445" s="61"/>
      <c r="K445" s="61"/>
      <c r="L445" s="42"/>
      <c r="M445" s="42"/>
      <c r="N445" s="42"/>
      <c r="O445" s="42"/>
      <c r="P445" s="42"/>
      <c r="Q445" s="42"/>
      <c r="R445" s="42"/>
      <c r="S445" s="42"/>
      <c r="T445" s="42"/>
      <c r="U445" s="42"/>
      <c r="V445" s="42"/>
      <c r="W445" s="42"/>
      <c r="X445" s="42"/>
      <c r="Y445" s="42"/>
      <c r="Z445" s="42"/>
    </row>
    <row r="446" ht="85.5" customHeight="1">
      <c r="A446" s="57" t="s">
        <v>247</v>
      </c>
      <c r="B446" s="57" t="s">
        <v>117</v>
      </c>
      <c r="C446" s="57" t="s">
        <v>1545</v>
      </c>
      <c r="D446" s="57" t="s">
        <v>1546</v>
      </c>
      <c r="E446" s="57" t="s">
        <v>1547</v>
      </c>
      <c r="F446" s="58">
        <v>130000.0</v>
      </c>
      <c r="G446" s="57" t="s">
        <v>251</v>
      </c>
      <c r="H446" s="59" t="s">
        <v>252</v>
      </c>
      <c r="I446" s="60" t="s">
        <v>253</v>
      </c>
      <c r="J446" s="61"/>
      <c r="K446" s="61"/>
      <c r="L446" s="42"/>
      <c r="M446" s="42"/>
      <c r="N446" s="42"/>
      <c r="O446" s="42"/>
      <c r="P446" s="42"/>
      <c r="Q446" s="42"/>
      <c r="R446" s="42"/>
      <c r="S446" s="42"/>
      <c r="T446" s="42"/>
      <c r="U446" s="42"/>
      <c r="V446" s="42"/>
      <c r="W446" s="42"/>
      <c r="X446" s="42"/>
      <c r="Y446" s="42"/>
      <c r="Z446" s="42"/>
    </row>
    <row r="447" ht="85.5" customHeight="1">
      <c r="A447" s="57" t="s">
        <v>247</v>
      </c>
      <c r="B447" s="57" t="s">
        <v>117</v>
      </c>
      <c r="C447" s="57" t="s">
        <v>1548</v>
      </c>
      <c r="D447" s="57" t="s">
        <v>1549</v>
      </c>
      <c r="E447" s="57" t="s">
        <v>1550</v>
      </c>
      <c r="F447" s="58">
        <v>99000.0</v>
      </c>
      <c r="G447" s="57" t="s">
        <v>251</v>
      </c>
      <c r="H447" s="59" t="s">
        <v>252</v>
      </c>
      <c r="I447" s="60" t="s">
        <v>253</v>
      </c>
      <c r="J447" s="61"/>
      <c r="K447" s="61"/>
      <c r="L447" s="42"/>
      <c r="M447" s="42"/>
      <c r="N447" s="42"/>
      <c r="O447" s="42"/>
      <c r="P447" s="42"/>
      <c r="Q447" s="42"/>
      <c r="R447" s="42"/>
      <c r="S447" s="42"/>
      <c r="T447" s="42"/>
      <c r="U447" s="42"/>
      <c r="V447" s="42"/>
      <c r="W447" s="42"/>
      <c r="X447" s="42"/>
      <c r="Y447" s="42"/>
      <c r="Z447" s="42"/>
    </row>
    <row r="448" ht="85.5" customHeight="1">
      <c r="A448" s="57" t="s">
        <v>247</v>
      </c>
      <c r="B448" s="57" t="s">
        <v>117</v>
      </c>
      <c r="C448" s="57" t="s">
        <v>1551</v>
      </c>
      <c r="D448" s="57" t="s">
        <v>1552</v>
      </c>
      <c r="E448" s="57" t="s">
        <v>1550</v>
      </c>
      <c r="F448" s="58">
        <v>200000.0</v>
      </c>
      <c r="G448" s="57" t="s">
        <v>251</v>
      </c>
      <c r="H448" s="59" t="s">
        <v>252</v>
      </c>
      <c r="I448" s="60" t="s">
        <v>472</v>
      </c>
      <c r="J448" s="61"/>
      <c r="K448" s="61"/>
      <c r="L448" s="42"/>
      <c r="M448" s="42"/>
      <c r="N448" s="42"/>
      <c r="O448" s="42"/>
      <c r="P448" s="42"/>
      <c r="Q448" s="42"/>
      <c r="R448" s="42"/>
      <c r="S448" s="42"/>
      <c r="T448" s="42"/>
      <c r="U448" s="42"/>
      <c r="V448" s="42"/>
      <c r="W448" s="42"/>
      <c r="X448" s="42"/>
      <c r="Y448" s="42"/>
      <c r="Z448" s="42"/>
    </row>
    <row r="449" ht="114.0" customHeight="1">
      <c r="A449" s="57" t="s">
        <v>247</v>
      </c>
      <c r="B449" s="57" t="s">
        <v>117</v>
      </c>
      <c r="C449" s="57" t="s">
        <v>1553</v>
      </c>
      <c r="D449" s="57" t="s">
        <v>1554</v>
      </c>
      <c r="E449" s="57" t="s">
        <v>1555</v>
      </c>
      <c r="F449" s="69">
        <v>2000000.0</v>
      </c>
      <c r="G449" s="59" t="s">
        <v>251</v>
      </c>
      <c r="H449" s="59" t="s">
        <v>252</v>
      </c>
      <c r="I449" s="60" t="s">
        <v>468</v>
      </c>
      <c r="J449" s="61"/>
      <c r="K449" s="61"/>
      <c r="L449" s="42"/>
      <c r="M449" s="42"/>
      <c r="N449" s="42"/>
      <c r="O449" s="42"/>
      <c r="P449" s="42"/>
      <c r="Q449" s="42"/>
      <c r="R449" s="42"/>
      <c r="S449" s="42"/>
      <c r="T449" s="42"/>
      <c r="U449" s="42"/>
      <c r="V449" s="42"/>
      <c r="W449" s="42"/>
      <c r="X449" s="42"/>
      <c r="Y449" s="42"/>
      <c r="Z449" s="42"/>
    </row>
    <row r="450" ht="114.0" customHeight="1">
      <c r="A450" s="57" t="s">
        <v>247</v>
      </c>
      <c r="B450" s="57" t="s">
        <v>117</v>
      </c>
      <c r="C450" s="57" t="s">
        <v>1556</v>
      </c>
      <c r="D450" s="57" t="s">
        <v>1557</v>
      </c>
      <c r="E450" s="57" t="s">
        <v>1558</v>
      </c>
      <c r="F450" s="69">
        <v>4000000.0</v>
      </c>
      <c r="G450" s="59" t="s">
        <v>251</v>
      </c>
      <c r="H450" s="59" t="s">
        <v>252</v>
      </c>
      <c r="I450" s="60" t="s">
        <v>468</v>
      </c>
      <c r="J450" s="61"/>
      <c r="K450" s="61"/>
      <c r="L450" s="42"/>
      <c r="M450" s="42"/>
      <c r="N450" s="42"/>
      <c r="O450" s="42"/>
      <c r="P450" s="42"/>
      <c r="Q450" s="42"/>
      <c r="R450" s="42"/>
      <c r="S450" s="42"/>
      <c r="T450" s="42"/>
      <c r="U450" s="42"/>
      <c r="V450" s="42"/>
      <c r="W450" s="42"/>
      <c r="X450" s="42"/>
      <c r="Y450" s="42"/>
      <c r="Z450" s="42"/>
    </row>
    <row r="451" ht="85.5" customHeight="1">
      <c r="A451" s="57" t="s">
        <v>247</v>
      </c>
      <c r="B451" s="57" t="s">
        <v>117</v>
      </c>
      <c r="C451" s="57" t="s">
        <v>1559</v>
      </c>
      <c r="D451" s="57" t="s">
        <v>1560</v>
      </c>
      <c r="E451" s="57" t="s">
        <v>1561</v>
      </c>
      <c r="F451" s="69">
        <v>8000000.0</v>
      </c>
      <c r="G451" s="59" t="s">
        <v>251</v>
      </c>
      <c r="H451" s="59" t="s">
        <v>252</v>
      </c>
      <c r="I451" s="60" t="s">
        <v>468</v>
      </c>
      <c r="J451" s="61"/>
      <c r="K451" s="61"/>
      <c r="L451" s="42"/>
      <c r="M451" s="42"/>
      <c r="N451" s="42"/>
      <c r="O451" s="42"/>
      <c r="P451" s="42"/>
      <c r="Q451" s="42"/>
      <c r="R451" s="42"/>
      <c r="S451" s="42"/>
      <c r="T451" s="42"/>
      <c r="U451" s="42"/>
      <c r="V451" s="42"/>
      <c r="W451" s="42"/>
      <c r="X451" s="42"/>
      <c r="Y451" s="42"/>
      <c r="Z451" s="42"/>
    </row>
    <row r="452" ht="85.5" customHeight="1">
      <c r="A452" s="57" t="s">
        <v>247</v>
      </c>
      <c r="B452" s="57" t="s">
        <v>117</v>
      </c>
      <c r="C452" s="57" t="s">
        <v>1562</v>
      </c>
      <c r="D452" s="57" t="s">
        <v>1563</v>
      </c>
      <c r="E452" s="57" t="s">
        <v>1564</v>
      </c>
      <c r="F452" s="69">
        <v>5000000.0</v>
      </c>
      <c r="G452" s="59" t="s">
        <v>251</v>
      </c>
      <c r="H452" s="59" t="s">
        <v>252</v>
      </c>
      <c r="I452" s="60" t="s">
        <v>468</v>
      </c>
      <c r="J452" s="61"/>
      <c r="K452" s="61"/>
      <c r="L452" s="42"/>
      <c r="M452" s="42"/>
      <c r="N452" s="42"/>
      <c r="O452" s="42"/>
      <c r="P452" s="42"/>
      <c r="Q452" s="42"/>
      <c r="R452" s="42"/>
      <c r="S452" s="42"/>
      <c r="T452" s="42"/>
      <c r="U452" s="42"/>
      <c r="V452" s="42"/>
      <c r="W452" s="42"/>
      <c r="X452" s="42"/>
      <c r="Y452" s="42"/>
      <c r="Z452" s="42"/>
    </row>
    <row r="453" ht="85.5" customHeight="1">
      <c r="A453" s="57" t="s">
        <v>247</v>
      </c>
      <c r="B453" s="57" t="s">
        <v>117</v>
      </c>
      <c r="C453" s="57" t="s">
        <v>1565</v>
      </c>
      <c r="D453" s="57" t="s">
        <v>1566</v>
      </c>
      <c r="E453" s="57" t="s">
        <v>1567</v>
      </c>
      <c r="F453" s="58">
        <v>450000.0</v>
      </c>
      <c r="G453" s="57" t="s">
        <v>251</v>
      </c>
      <c r="H453" s="59" t="s">
        <v>252</v>
      </c>
      <c r="I453" s="59" t="s">
        <v>472</v>
      </c>
      <c r="J453" s="61"/>
      <c r="K453" s="61"/>
      <c r="L453" s="42"/>
      <c r="M453" s="42"/>
      <c r="N453" s="42"/>
      <c r="O453" s="42"/>
      <c r="P453" s="42"/>
      <c r="Q453" s="42"/>
      <c r="R453" s="42"/>
      <c r="S453" s="42"/>
      <c r="T453" s="42"/>
      <c r="U453" s="42"/>
      <c r="V453" s="42"/>
      <c r="W453" s="42"/>
      <c r="X453" s="42"/>
      <c r="Y453" s="42"/>
      <c r="Z453" s="42"/>
    </row>
    <row r="454" ht="85.5" customHeight="1">
      <c r="A454" s="57" t="s">
        <v>247</v>
      </c>
      <c r="B454" s="57" t="s">
        <v>117</v>
      </c>
      <c r="C454" s="57" t="s">
        <v>1568</v>
      </c>
      <c r="D454" s="57" t="s">
        <v>1569</v>
      </c>
      <c r="E454" s="57" t="s">
        <v>1570</v>
      </c>
      <c r="F454" s="58">
        <v>1900000.0</v>
      </c>
      <c r="G454" s="57" t="s">
        <v>1571</v>
      </c>
      <c r="H454" s="59" t="s">
        <v>252</v>
      </c>
      <c r="I454" s="59" t="s">
        <v>472</v>
      </c>
      <c r="J454" s="61"/>
      <c r="K454" s="61"/>
      <c r="L454" s="42"/>
      <c r="M454" s="42"/>
      <c r="N454" s="42"/>
      <c r="O454" s="42"/>
      <c r="P454" s="42"/>
      <c r="Q454" s="42"/>
      <c r="R454" s="42"/>
      <c r="S454" s="42"/>
      <c r="T454" s="42"/>
      <c r="U454" s="42"/>
      <c r="V454" s="42"/>
      <c r="W454" s="42"/>
      <c r="X454" s="42"/>
      <c r="Y454" s="42"/>
      <c r="Z454" s="42"/>
    </row>
    <row r="455" ht="85.5" customHeight="1">
      <c r="A455" s="57" t="s">
        <v>247</v>
      </c>
      <c r="B455" s="57" t="s">
        <v>117</v>
      </c>
      <c r="C455" s="57" t="s">
        <v>1572</v>
      </c>
      <c r="D455" s="57" t="s">
        <v>1573</v>
      </c>
      <c r="E455" s="57" t="s">
        <v>1574</v>
      </c>
      <c r="F455" s="58">
        <v>600000.0</v>
      </c>
      <c r="G455" s="57" t="s">
        <v>1571</v>
      </c>
      <c r="H455" s="59" t="s">
        <v>252</v>
      </c>
      <c r="I455" s="59" t="s">
        <v>472</v>
      </c>
      <c r="J455" s="61"/>
      <c r="K455" s="61"/>
      <c r="L455" s="42"/>
      <c r="M455" s="42"/>
      <c r="N455" s="42"/>
      <c r="O455" s="42"/>
      <c r="P455" s="42"/>
      <c r="Q455" s="42"/>
      <c r="R455" s="42"/>
      <c r="S455" s="42"/>
      <c r="T455" s="42"/>
      <c r="U455" s="42"/>
      <c r="V455" s="42"/>
      <c r="W455" s="42"/>
      <c r="X455" s="42"/>
      <c r="Y455" s="42"/>
      <c r="Z455" s="42"/>
    </row>
    <row r="456" ht="85.5" customHeight="1">
      <c r="A456" s="57" t="s">
        <v>247</v>
      </c>
      <c r="B456" s="57" t="s">
        <v>117</v>
      </c>
      <c r="C456" s="57" t="s">
        <v>1575</v>
      </c>
      <c r="D456" s="57" t="s">
        <v>1576</v>
      </c>
      <c r="E456" s="57" t="s">
        <v>1577</v>
      </c>
      <c r="F456" s="58">
        <v>500000.0</v>
      </c>
      <c r="G456" s="57" t="s">
        <v>251</v>
      </c>
      <c r="H456" s="59" t="s">
        <v>252</v>
      </c>
      <c r="I456" s="59" t="s">
        <v>472</v>
      </c>
      <c r="J456" s="61"/>
      <c r="K456" s="61"/>
      <c r="L456" s="42"/>
      <c r="M456" s="42"/>
      <c r="N456" s="42"/>
      <c r="O456" s="42"/>
      <c r="P456" s="42"/>
      <c r="Q456" s="42"/>
      <c r="R456" s="42"/>
      <c r="S456" s="42"/>
      <c r="T456" s="42"/>
      <c r="U456" s="42"/>
      <c r="V456" s="42"/>
      <c r="W456" s="42"/>
      <c r="X456" s="42"/>
      <c r="Y456" s="42"/>
      <c r="Z456" s="42"/>
    </row>
    <row r="457" ht="85.5" customHeight="1">
      <c r="A457" s="57" t="s">
        <v>247</v>
      </c>
      <c r="B457" s="57" t="s">
        <v>117</v>
      </c>
      <c r="C457" s="57" t="s">
        <v>1578</v>
      </c>
      <c r="D457" s="57" t="s">
        <v>1579</v>
      </c>
      <c r="E457" s="57" t="s">
        <v>1580</v>
      </c>
      <c r="F457" s="58">
        <v>800000.0</v>
      </c>
      <c r="G457" s="57" t="s">
        <v>251</v>
      </c>
      <c r="H457" s="59" t="s">
        <v>252</v>
      </c>
      <c r="I457" s="59" t="s">
        <v>472</v>
      </c>
      <c r="J457" s="61"/>
      <c r="K457" s="61"/>
      <c r="L457" s="42"/>
      <c r="M457" s="42"/>
      <c r="N457" s="42"/>
      <c r="O457" s="42"/>
      <c r="P457" s="42"/>
      <c r="Q457" s="42"/>
      <c r="R457" s="42"/>
      <c r="S457" s="42"/>
      <c r="T457" s="42"/>
      <c r="U457" s="42"/>
      <c r="V457" s="42"/>
      <c r="W457" s="42"/>
      <c r="X457" s="42"/>
      <c r="Y457" s="42"/>
      <c r="Z457" s="42"/>
    </row>
    <row r="458" ht="85.5" customHeight="1">
      <c r="A458" s="57" t="s">
        <v>247</v>
      </c>
      <c r="B458" s="57" t="s">
        <v>117</v>
      </c>
      <c r="C458" s="57" t="s">
        <v>1581</v>
      </c>
      <c r="D458" s="57" t="s">
        <v>1582</v>
      </c>
      <c r="E458" s="57" t="s">
        <v>1583</v>
      </c>
      <c r="F458" s="58">
        <v>1000000.0</v>
      </c>
      <c r="G458" s="57" t="s">
        <v>251</v>
      </c>
      <c r="H458" s="59" t="s">
        <v>252</v>
      </c>
      <c r="I458" s="59" t="s">
        <v>472</v>
      </c>
      <c r="J458" s="61"/>
      <c r="K458" s="61"/>
      <c r="L458" s="42"/>
      <c r="M458" s="42"/>
      <c r="N458" s="42"/>
      <c r="O458" s="42"/>
      <c r="P458" s="42"/>
      <c r="Q458" s="42"/>
      <c r="R458" s="42"/>
      <c r="S458" s="42"/>
      <c r="T458" s="42"/>
      <c r="U458" s="42"/>
      <c r="V458" s="42"/>
      <c r="W458" s="42"/>
      <c r="X458" s="42"/>
      <c r="Y458" s="42"/>
      <c r="Z458" s="42"/>
    </row>
    <row r="459" ht="85.5" customHeight="1">
      <c r="A459" s="57" t="s">
        <v>247</v>
      </c>
      <c r="B459" s="57" t="s">
        <v>117</v>
      </c>
      <c r="C459" s="57" t="s">
        <v>1584</v>
      </c>
      <c r="D459" s="57" t="s">
        <v>1585</v>
      </c>
      <c r="E459" s="57" t="s">
        <v>1583</v>
      </c>
      <c r="F459" s="58">
        <v>450000.0</v>
      </c>
      <c r="G459" s="57" t="s">
        <v>251</v>
      </c>
      <c r="H459" s="59" t="s">
        <v>252</v>
      </c>
      <c r="I459" s="59" t="s">
        <v>472</v>
      </c>
      <c r="J459" s="61"/>
      <c r="K459" s="61"/>
      <c r="L459" s="42"/>
      <c r="M459" s="42"/>
      <c r="N459" s="42"/>
      <c r="O459" s="42"/>
      <c r="P459" s="42"/>
      <c r="Q459" s="42"/>
      <c r="R459" s="42"/>
      <c r="S459" s="42"/>
      <c r="T459" s="42"/>
      <c r="U459" s="42"/>
      <c r="V459" s="42"/>
      <c r="W459" s="42"/>
      <c r="X459" s="42"/>
      <c r="Y459" s="42"/>
      <c r="Z459" s="42"/>
    </row>
    <row r="460" ht="114.0" customHeight="1">
      <c r="A460" s="57" t="s">
        <v>247</v>
      </c>
      <c r="B460" s="57" t="s">
        <v>117</v>
      </c>
      <c r="C460" s="57" t="s">
        <v>1586</v>
      </c>
      <c r="D460" s="57" t="s">
        <v>1587</v>
      </c>
      <c r="E460" s="57" t="s">
        <v>1588</v>
      </c>
      <c r="F460" s="58">
        <v>550000.0</v>
      </c>
      <c r="G460" s="57" t="s">
        <v>251</v>
      </c>
      <c r="H460" s="59" t="s">
        <v>252</v>
      </c>
      <c r="I460" s="59" t="s">
        <v>472</v>
      </c>
      <c r="J460" s="61"/>
      <c r="K460" s="61"/>
      <c r="L460" s="42"/>
      <c r="M460" s="42"/>
      <c r="N460" s="42"/>
      <c r="O460" s="42"/>
      <c r="P460" s="42"/>
      <c r="Q460" s="42"/>
      <c r="R460" s="42"/>
      <c r="S460" s="42"/>
      <c r="T460" s="42"/>
      <c r="U460" s="42"/>
      <c r="V460" s="42"/>
      <c r="W460" s="42"/>
      <c r="X460" s="42"/>
      <c r="Y460" s="42"/>
      <c r="Z460" s="42"/>
    </row>
    <row r="461" ht="85.5" customHeight="1">
      <c r="A461" s="57" t="s">
        <v>247</v>
      </c>
      <c r="B461" s="57" t="s">
        <v>117</v>
      </c>
      <c r="C461" s="57" t="s">
        <v>1589</v>
      </c>
      <c r="D461" s="57" t="s">
        <v>1590</v>
      </c>
      <c r="E461" s="57" t="s">
        <v>1588</v>
      </c>
      <c r="F461" s="58">
        <v>650000.0</v>
      </c>
      <c r="G461" s="57" t="s">
        <v>251</v>
      </c>
      <c r="H461" s="59" t="s">
        <v>252</v>
      </c>
      <c r="I461" s="59" t="s">
        <v>472</v>
      </c>
      <c r="J461" s="61"/>
      <c r="K461" s="61"/>
      <c r="L461" s="42"/>
      <c r="M461" s="42"/>
      <c r="N461" s="42"/>
      <c r="O461" s="42"/>
      <c r="P461" s="42"/>
      <c r="Q461" s="42"/>
      <c r="R461" s="42"/>
      <c r="S461" s="42"/>
      <c r="T461" s="42"/>
      <c r="U461" s="42"/>
      <c r="V461" s="42"/>
      <c r="W461" s="42"/>
      <c r="X461" s="42"/>
      <c r="Y461" s="42"/>
      <c r="Z461" s="42"/>
    </row>
    <row r="462" ht="85.5" customHeight="1">
      <c r="A462" s="57" t="s">
        <v>247</v>
      </c>
      <c r="B462" s="57" t="s">
        <v>117</v>
      </c>
      <c r="C462" s="57" t="s">
        <v>1591</v>
      </c>
      <c r="D462" s="57" t="s">
        <v>1592</v>
      </c>
      <c r="E462" s="57" t="s">
        <v>1593</v>
      </c>
      <c r="F462" s="58">
        <v>200000.0</v>
      </c>
      <c r="G462" s="57" t="s">
        <v>251</v>
      </c>
      <c r="H462" s="59" t="s">
        <v>252</v>
      </c>
      <c r="I462" s="59" t="s">
        <v>472</v>
      </c>
      <c r="J462" s="61"/>
      <c r="K462" s="61"/>
      <c r="L462" s="42"/>
      <c r="M462" s="42"/>
      <c r="N462" s="42"/>
      <c r="O462" s="42"/>
      <c r="P462" s="42"/>
      <c r="Q462" s="42"/>
      <c r="R462" s="42"/>
      <c r="S462" s="42"/>
      <c r="T462" s="42"/>
      <c r="U462" s="42"/>
      <c r="V462" s="42"/>
      <c r="W462" s="42"/>
      <c r="X462" s="42"/>
      <c r="Y462" s="42"/>
      <c r="Z462" s="42"/>
    </row>
    <row r="463" ht="85.5" customHeight="1">
      <c r="A463" s="57" t="s">
        <v>247</v>
      </c>
      <c r="B463" s="57" t="s">
        <v>117</v>
      </c>
      <c r="C463" s="57" t="s">
        <v>1594</v>
      </c>
      <c r="D463" s="57" t="s">
        <v>1595</v>
      </c>
      <c r="E463" s="57" t="s">
        <v>1596</v>
      </c>
      <c r="F463" s="58">
        <v>50000.0</v>
      </c>
      <c r="G463" s="57" t="s">
        <v>467</v>
      </c>
      <c r="H463" s="59" t="s">
        <v>252</v>
      </c>
      <c r="I463" s="59" t="s">
        <v>472</v>
      </c>
      <c r="J463" s="61"/>
      <c r="K463" s="61"/>
      <c r="L463" s="42"/>
      <c r="M463" s="42"/>
      <c r="N463" s="42"/>
      <c r="O463" s="42"/>
      <c r="P463" s="42"/>
      <c r="Q463" s="42"/>
      <c r="R463" s="42"/>
      <c r="S463" s="42"/>
      <c r="T463" s="42"/>
      <c r="U463" s="42"/>
      <c r="V463" s="42"/>
      <c r="W463" s="42"/>
      <c r="X463" s="42"/>
      <c r="Y463" s="42"/>
      <c r="Z463" s="42"/>
    </row>
    <row r="464" ht="85.5" customHeight="1">
      <c r="A464" s="57" t="s">
        <v>247</v>
      </c>
      <c r="B464" s="57" t="s">
        <v>117</v>
      </c>
      <c r="C464" s="57" t="s">
        <v>1597</v>
      </c>
      <c r="D464" s="57" t="s">
        <v>1598</v>
      </c>
      <c r="E464" s="57" t="s">
        <v>1599</v>
      </c>
      <c r="F464" s="58">
        <v>450000.0</v>
      </c>
      <c r="G464" s="57" t="s">
        <v>467</v>
      </c>
      <c r="H464" s="59" t="s">
        <v>252</v>
      </c>
      <c r="I464" s="59" t="s">
        <v>472</v>
      </c>
      <c r="J464" s="61"/>
      <c r="K464" s="61"/>
      <c r="L464" s="42"/>
      <c r="M464" s="42"/>
      <c r="N464" s="42"/>
      <c r="O464" s="42"/>
      <c r="P464" s="42"/>
      <c r="Q464" s="42"/>
      <c r="R464" s="42"/>
      <c r="S464" s="42"/>
      <c r="T464" s="42"/>
      <c r="U464" s="42"/>
      <c r="V464" s="42"/>
      <c r="W464" s="42"/>
      <c r="X464" s="42"/>
      <c r="Y464" s="42"/>
      <c r="Z464" s="42"/>
    </row>
    <row r="465" ht="85.5" customHeight="1">
      <c r="A465" s="57" t="s">
        <v>247</v>
      </c>
      <c r="B465" s="57" t="s">
        <v>117</v>
      </c>
      <c r="C465" s="57" t="s">
        <v>1600</v>
      </c>
      <c r="D465" s="57" t="s">
        <v>1601</v>
      </c>
      <c r="E465" s="57" t="s">
        <v>1602</v>
      </c>
      <c r="F465" s="58">
        <v>5000000.0</v>
      </c>
      <c r="G465" s="57" t="s">
        <v>251</v>
      </c>
      <c r="H465" s="59" t="s">
        <v>252</v>
      </c>
      <c r="I465" s="59" t="s">
        <v>635</v>
      </c>
      <c r="J465" s="61"/>
      <c r="K465" s="61"/>
      <c r="L465" s="42"/>
      <c r="M465" s="42"/>
      <c r="N465" s="42"/>
      <c r="O465" s="42"/>
      <c r="P465" s="42"/>
      <c r="Q465" s="42"/>
      <c r="R465" s="42"/>
      <c r="S465" s="42"/>
      <c r="T465" s="42"/>
      <c r="U465" s="42"/>
      <c r="V465" s="42"/>
      <c r="W465" s="42"/>
      <c r="X465" s="42"/>
      <c r="Y465" s="42"/>
      <c r="Z465" s="42"/>
    </row>
    <row r="466" ht="85.5" customHeight="1">
      <c r="A466" s="57" t="s">
        <v>247</v>
      </c>
      <c r="B466" s="57" t="s">
        <v>117</v>
      </c>
      <c r="C466" s="57" t="s">
        <v>1603</v>
      </c>
      <c r="D466" s="57" t="s">
        <v>1604</v>
      </c>
      <c r="E466" s="57" t="s">
        <v>1605</v>
      </c>
      <c r="F466" s="58">
        <v>1.0E7</v>
      </c>
      <c r="G466" s="57" t="s">
        <v>251</v>
      </c>
      <c r="H466" s="59" t="s">
        <v>252</v>
      </c>
      <c r="I466" s="59" t="s">
        <v>635</v>
      </c>
      <c r="J466" s="61"/>
      <c r="K466" s="61"/>
      <c r="L466" s="42"/>
      <c r="M466" s="42"/>
      <c r="N466" s="42"/>
      <c r="O466" s="42"/>
      <c r="P466" s="42"/>
      <c r="Q466" s="42"/>
      <c r="R466" s="42"/>
      <c r="S466" s="42"/>
      <c r="T466" s="42"/>
      <c r="U466" s="42"/>
      <c r="V466" s="42"/>
      <c r="W466" s="42"/>
      <c r="X466" s="42"/>
      <c r="Y466" s="42"/>
      <c r="Z466" s="42"/>
    </row>
    <row r="467" ht="85.5" customHeight="1">
      <c r="A467" s="57" t="s">
        <v>247</v>
      </c>
      <c r="B467" s="57" t="s">
        <v>117</v>
      </c>
      <c r="C467" s="57" t="s">
        <v>1606</v>
      </c>
      <c r="D467" s="57" t="s">
        <v>1607</v>
      </c>
      <c r="E467" s="57" t="s">
        <v>1608</v>
      </c>
      <c r="F467" s="58">
        <v>1.5E7</v>
      </c>
      <c r="G467" s="57" t="s">
        <v>251</v>
      </c>
      <c r="H467" s="59" t="s">
        <v>252</v>
      </c>
      <c r="I467" s="59" t="s">
        <v>635</v>
      </c>
      <c r="J467" s="61"/>
      <c r="K467" s="61"/>
      <c r="L467" s="42"/>
      <c r="M467" s="42"/>
      <c r="N467" s="42"/>
      <c r="O467" s="42"/>
      <c r="P467" s="42"/>
      <c r="Q467" s="42"/>
      <c r="R467" s="42"/>
      <c r="S467" s="42"/>
      <c r="T467" s="42"/>
      <c r="U467" s="42"/>
      <c r="V467" s="42"/>
      <c r="W467" s="42"/>
      <c r="X467" s="42"/>
      <c r="Y467" s="42"/>
      <c r="Z467" s="42"/>
    </row>
    <row r="468" ht="85.5" customHeight="1">
      <c r="A468" s="57" t="s">
        <v>247</v>
      </c>
      <c r="B468" s="57" t="s">
        <v>117</v>
      </c>
      <c r="C468" s="57" t="s">
        <v>1609</v>
      </c>
      <c r="D468" s="57" t="s">
        <v>1610</v>
      </c>
      <c r="E468" s="57" t="s">
        <v>1611</v>
      </c>
      <c r="F468" s="58">
        <v>2.0E7</v>
      </c>
      <c r="G468" s="57" t="s">
        <v>251</v>
      </c>
      <c r="H468" s="59" t="s">
        <v>252</v>
      </c>
      <c r="I468" s="59" t="s">
        <v>635</v>
      </c>
      <c r="J468" s="61"/>
      <c r="K468" s="61"/>
      <c r="L468" s="42"/>
      <c r="M468" s="42"/>
      <c r="N468" s="42"/>
      <c r="O468" s="42"/>
      <c r="P468" s="42"/>
      <c r="Q468" s="42"/>
      <c r="R468" s="42"/>
      <c r="S468" s="42"/>
      <c r="T468" s="42"/>
      <c r="U468" s="42"/>
      <c r="V468" s="42"/>
      <c r="W468" s="42"/>
      <c r="X468" s="42"/>
      <c r="Y468" s="42"/>
      <c r="Z468" s="42"/>
    </row>
    <row r="469" ht="85.5" customHeight="1">
      <c r="A469" s="57" t="s">
        <v>247</v>
      </c>
      <c r="B469" s="57" t="s">
        <v>117</v>
      </c>
      <c r="C469" s="57" t="s">
        <v>1612</v>
      </c>
      <c r="D469" s="57" t="s">
        <v>1613</v>
      </c>
      <c r="E469" s="57"/>
      <c r="F469" s="58">
        <v>1.5E7</v>
      </c>
      <c r="G469" s="57" t="s">
        <v>251</v>
      </c>
      <c r="H469" s="59" t="s">
        <v>252</v>
      </c>
      <c r="I469" s="59" t="s">
        <v>272</v>
      </c>
      <c r="J469" s="61"/>
      <c r="K469" s="61"/>
      <c r="L469" s="42"/>
      <c r="M469" s="42"/>
      <c r="N469" s="42"/>
      <c r="O469" s="42"/>
      <c r="P469" s="42"/>
      <c r="Q469" s="42"/>
      <c r="R469" s="42"/>
      <c r="S469" s="42"/>
      <c r="T469" s="42"/>
      <c r="U469" s="42"/>
      <c r="V469" s="42"/>
      <c r="W469" s="42"/>
      <c r="X469" s="42"/>
      <c r="Y469" s="42"/>
      <c r="Z469" s="42"/>
    </row>
    <row r="470" ht="85.5" customHeight="1">
      <c r="A470" s="57" t="s">
        <v>247</v>
      </c>
      <c r="B470" s="57" t="s">
        <v>117</v>
      </c>
      <c r="C470" s="57" t="s">
        <v>1614</v>
      </c>
      <c r="D470" s="57" t="s">
        <v>1615</v>
      </c>
      <c r="E470" s="57" t="s">
        <v>1616</v>
      </c>
      <c r="F470" s="58">
        <v>200000.0</v>
      </c>
      <c r="G470" s="57" t="s">
        <v>251</v>
      </c>
      <c r="H470" s="59" t="s">
        <v>252</v>
      </c>
      <c r="I470" s="59" t="s">
        <v>272</v>
      </c>
      <c r="J470" s="61"/>
      <c r="K470" s="61"/>
      <c r="L470" s="42"/>
      <c r="M470" s="42"/>
      <c r="N470" s="42"/>
      <c r="O470" s="42"/>
      <c r="P470" s="42"/>
      <c r="Q470" s="42"/>
      <c r="R470" s="42"/>
      <c r="S470" s="42"/>
      <c r="T470" s="42"/>
      <c r="U470" s="42"/>
      <c r="V470" s="42"/>
      <c r="W470" s="42"/>
      <c r="X470" s="42"/>
      <c r="Y470" s="42"/>
      <c r="Z470" s="42"/>
    </row>
    <row r="471" ht="30.75" customHeight="1">
      <c r="A471" s="52" t="s">
        <v>247</v>
      </c>
      <c r="B471" s="52" t="s">
        <v>120</v>
      </c>
      <c r="C471" s="52" t="s">
        <v>121</v>
      </c>
      <c r="D471" s="52" t="s">
        <v>122</v>
      </c>
      <c r="E471" s="52"/>
      <c r="F471" s="62"/>
      <c r="G471" s="52"/>
      <c r="H471" s="63"/>
      <c r="I471" s="63"/>
      <c r="J471" s="54"/>
      <c r="K471" s="54"/>
      <c r="L471" s="56"/>
      <c r="M471" s="56"/>
      <c r="N471" s="56"/>
      <c r="O471" s="56"/>
      <c r="P471" s="56"/>
      <c r="Q471" s="56"/>
      <c r="R471" s="56"/>
      <c r="S471" s="56"/>
      <c r="T471" s="56"/>
      <c r="U471" s="56"/>
      <c r="V471" s="56"/>
      <c r="W471" s="56"/>
      <c r="X471" s="56"/>
      <c r="Y471" s="56"/>
      <c r="Z471" s="56"/>
    </row>
    <row r="472" ht="57.0" customHeight="1">
      <c r="A472" s="57" t="s">
        <v>247</v>
      </c>
      <c r="B472" s="57" t="s">
        <v>120</v>
      </c>
      <c r="C472" s="57" t="s">
        <v>1617</v>
      </c>
      <c r="D472" s="57" t="s">
        <v>1618</v>
      </c>
      <c r="E472" s="57"/>
      <c r="F472" s="58">
        <v>52800.0</v>
      </c>
      <c r="G472" s="57" t="s">
        <v>657</v>
      </c>
      <c r="H472" s="59" t="s">
        <v>952</v>
      </c>
      <c r="I472" s="59" t="s">
        <v>953</v>
      </c>
      <c r="J472" s="61"/>
      <c r="K472" s="61"/>
      <c r="L472" s="42"/>
      <c r="M472" s="42"/>
      <c r="N472" s="42"/>
      <c r="O472" s="42"/>
      <c r="P472" s="42"/>
      <c r="Q472" s="42"/>
      <c r="R472" s="42"/>
      <c r="S472" s="42"/>
      <c r="T472" s="42"/>
      <c r="U472" s="42"/>
      <c r="V472" s="42"/>
      <c r="W472" s="42"/>
      <c r="X472" s="42"/>
      <c r="Y472" s="42"/>
      <c r="Z472" s="42"/>
    </row>
    <row r="473" ht="57.0" customHeight="1">
      <c r="A473" s="57" t="s">
        <v>247</v>
      </c>
      <c r="B473" s="57" t="s">
        <v>120</v>
      </c>
      <c r="C473" s="57" t="s">
        <v>1619</v>
      </c>
      <c r="D473" s="57" t="s">
        <v>1620</v>
      </c>
      <c r="E473" s="57" t="s">
        <v>1621</v>
      </c>
      <c r="F473" s="58">
        <v>300000.0</v>
      </c>
      <c r="G473" s="57" t="s">
        <v>657</v>
      </c>
      <c r="H473" s="59" t="s">
        <v>252</v>
      </c>
      <c r="I473" s="60" t="s">
        <v>253</v>
      </c>
      <c r="J473" s="61"/>
      <c r="K473" s="61"/>
      <c r="L473" s="42"/>
      <c r="M473" s="42"/>
      <c r="N473" s="42"/>
      <c r="O473" s="42"/>
      <c r="P473" s="42"/>
      <c r="Q473" s="42"/>
      <c r="R473" s="42"/>
      <c r="S473" s="42"/>
      <c r="T473" s="42"/>
      <c r="U473" s="42"/>
      <c r="V473" s="42"/>
      <c r="W473" s="42"/>
      <c r="X473" s="42"/>
      <c r="Y473" s="42"/>
      <c r="Z473" s="42"/>
    </row>
    <row r="474" ht="57.0" customHeight="1">
      <c r="A474" s="57" t="s">
        <v>247</v>
      </c>
      <c r="B474" s="57" t="s">
        <v>120</v>
      </c>
      <c r="C474" s="57" t="s">
        <v>1622</v>
      </c>
      <c r="D474" s="57" t="s">
        <v>1623</v>
      </c>
      <c r="E474" s="57" t="s">
        <v>1624</v>
      </c>
      <c r="F474" s="58">
        <v>750000.0</v>
      </c>
      <c r="G474" s="57" t="s">
        <v>657</v>
      </c>
      <c r="H474" s="59" t="s">
        <v>252</v>
      </c>
      <c r="I474" s="60" t="s">
        <v>253</v>
      </c>
      <c r="J474" s="61"/>
      <c r="K474" s="61"/>
      <c r="L474" s="42"/>
      <c r="M474" s="42"/>
      <c r="N474" s="42"/>
      <c r="O474" s="42"/>
      <c r="P474" s="42"/>
      <c r="Q474" s="42"/>
      <c r="R474" s="42"/>
      <c r="S474" s="42"/>
      <c r="T474" s="42"/>
      <c r="U474" s="42"/>
      <c r="V474" s="42"/>
      <c r="W474" s="42"/>
      <c r="X474" s="42"/>
      <c r="Y474" s="42"/>
      <c r="Z474" s="42"/>
    </row>
    <row r="475" ht="57.0" customHeight="1">
      <c r="A475" s="57" t="s">
        <v>247</v>
      </c>
      <c r="B475" s="57" t="s">
        <v>120</v>
      </c>
      <c r="C475" s="57" t="s">
        <v>1625</v>
      </c>
      <c r="D475" s="57" t="s">
        <v>1626</v>
      </c>
      <c r="E475" s="57" t="s">
        <v>1627</v>
      </c>
      <c r="F475" s="58">
        <v>1760000.0</v>
      </c>
      <c r="G475" s="57" t="s">
        <v>657</v>
      </c>
      <c r="H475" s="59" t="s">
        <v>252</v>
      </c>
      <c r="I475" s="60" t="s">
        <v>253</v>
      </c>
      <c r="J475" s="61"/>
      <c r="K475" s="61"/>
      <c r="L475" s="42"/>
      <c r="M475" s="42"/>
      <c r="N475" s="42"/>
      <c r="O475" s="42"/>
      <c r="P475" s="42"/>
      <c r="Q475" s="42"/>
      <c r="R475" s="42"/>
      <c r="S475" s="42"/>
      <c r="T475" s="42"/>
      <c r="U475" s="42"/>
      <c r="V475" s="42"/>
      <c r="W475" s="42"/>
      <c r="X475" s="42"/>
      <c r="Y475" s="42"/>
      <c r="Z475" s="42"/>
    </row>
    <row r="476" ht="57.0" customHeight="1">
      <c r="A476" s="57" t="s">
        <v>247</v>
      </c>
      <c r="B476" s="57" t="s">
        <v>120</v>
      </c>
      <c r="C476" s="57" t="s">
        <v>1628</v>
      </c>
      <c r="D476" s="57" t="s">
        <v>1629</v>
      </c>
      <c r="E476" s="57" t="s">
        <v>1630</v>
      </c>
      <c r="F476" s="58">
        <v>2500000.0</v>
      </c>
      <c r="G476" s="57" t="s">
        <v>657</v>
      </c>
      <c r="H476" s="59" t="s">
        <v>252</v>
      </c>
      <c r="I476" s="60" t="s">
        <v>253</v>
      </c>
      <c r="J476" s="61"/>
      <c r="K476" s="61"/>
      <c r="L476" s="42"/>
      <c r="M476" s="42"/>
      <c r="N476" s="42"/>
      <c r="O476" s="42"/>
      <c r="P476" s="42"/>
      <c r="Q476" s="42"/>
      <c r="R476" s="42"/>
      <c r="S476" s="42"/>
      <c r="T476" s="42"/>
      <c r="U476" s="42"/>
      <c r="V476" s="42"/>
      <c r="W476" s="42"/>
      <c r="X476" s="42"/>
      <c r="Y476" s="42"/>
      <c r="Z476" s="42"/>
    </row>
    <row r="477" ht="57.0" customHeight="1">
      <c r="A477" s="57" t="s">
        <v>247</v>
      </c>
      <c r="B477" s="57" t="s">
        <v>120</v>
      </c>
      <c r="C477" s="57" t="s">
        <v>1631</v>
      </c>
      <c r="D477" s="57" t="s">
        <v>1632</v>
      </c>
      <c r="E477" s="57" t="s">
        <v>1633</v>
      </c>
      <c r="F477" s="58">
        <v>3000000.0</v>
      </c>
      <c r="G477" s="57" t="s">
        <v>657</v>
      </c>
      <c r="H477" s="59" t="s">
        <v>252</v>
      </c>
      <c r="I477" s="60" t="s">
        <v>253</v>
      </c>
      <c r="J477" s="61"/>
      <c r="K477" s="61"/>
      <c r="L477" s="42"/>
      <c r="M477" s="42"/>
      <c r="N477" s="42"/>
      <c r="O477" s="42"/>
      <c r="P477" s="42"/>
      <c r="Q477" s="42"/>
      <c r="R477" s="42"/>
      <c r="S477" s="42"/>
      <c r="T477" s="42"/>
      <c r="U477" s="42"/>
      <c r="V477" s="42"/>
      <c r="W477" s="42"/>
      <c r="X477" s="42"/>
      <c r="Y477" s="42"/>
      <c r="Z477" s="42"/>
    </row>
    <row r="478" ht="57.0" customHeight="1">
      <c r="A478" s="57" t="s">
        <v>247</v>
      </c>
      <c r="B478" s="57" t="s">
        <v>120</v>
      </c>
      <c r="C478" s="57" t="s">
        <v>1634</v>
      </c>
      <c r="D478" s="57" t="s">
        <v>1635</v>
      </c>
      <c r="E478" s="57" t="s">
        <v>1636</v>
      </c>
      <c r="F478" s="58">
        <v>3000000.0</v>
      </c>
      <c r="G478" s="57" t="s">
        <v>657</v>
      </c>
      <c r="H478" s="59" t="s">
        <v>252</v>
      </c>
      <c r="I478" s="60" t="s">
        <v>253</v>
      </c>
      <c r="J478" s="61"/>
      <c r="K478" s="61"/>
      <c r="L478" s="42"/>
      <c r="M478" s="42"/>
      <c r="N478" s="42"/>
      <c r="O478" s="42"/>
      <c r="P478" s="42"/>
      <c r="Q478" s="42"/>
      <c r="R478" s="42"/>
      <c r="S478" s="42"/>
      <c r="T478" s="42"/>
      <c r="U478" s="42"/>
      <c r="V478" s="42"/>
      <c r="W478" s="42"/>
      <c r="X478" s="42"/>
      <c r="Y478" s="42"/>
      <c r="Z478" s="42"/>
    </row>
    <row r="479" ht="57.0" customHeight="1">
      <c r="A479" s="57" t="s">
        <v>247</v>
      </c>
      <c r="B479" s="57" t="s">
        <v>120</v>
      </c>
      <c r="C479" s="57" t="s">
        <v>1637</v>
      </c>
      <c r="D479" s="57" t="s">
        <v>1638</v>
      </c>
      <c r="E479" s="57" t="s">
        <v>1639</v>
      </c>
      <c r="F479" s="58">
        <v>3600000.0</v>
      </c>
      <c r="G479" s="57" t="s">
        <v>657</v>
      </c>
      <c r="H479" s="59" t="s">
        <v>252</v>
      </c>
      <c r="I479" s="60" t="s">
        <v>253</v>
      </c>
      <c r="J479" s="61"/>
      <c r="K479" s="61"/>
      <c r="L479" s="42"/>
      <c r="M479" s="42"/>
      <c r="N479" s="42"/>
      <c r="O479" s="42"/>
      <c r="P479" s="42"/>
      <c r="Q479" s="42"/>
      <c r="R479" s="42"/>
      <c r="S479" s="42"/>
      <c r="T479" s="42"/>
      <c r="U479" s="42"/>
      <c r="V479" s="42"/>
      <c r="W479" s="42"/>
      <c r="X479" s="42"/>
      <c r="Y479" s="42"/>
      <c r="Z479" s="42"/>
    </row>
    <row r="480" ht="57.0" customHeight="1">
      <c r="A480" s="57" t="s">
        <v>247</v>
      </c>
      <c r="B480" s="57" t="s">
        <v>120</v>
      </c>
      <c r="C480" s="57" t="s">
        <v>1640</v>
      </c>
      <c r="D480" s="57" t="s">
        <v>1641</v>
      </c>
      <c r="E480" s="57" t="s">
        <v>1642</v>
      </c>
      <c r="F480" s="58">
        <v>5000000.0</v>
      </c>
      <c r="G480" s="57" t="s">
        <v>657</v>
      </c>
      <c r="H480" s="59" t="s">
        <v>252</v>
      </c>
      <c r="I480" s="60" t="s">
        <v>253</v>
      </c>
      <c r="J480" s="61"/>
      <c r="K480" s="61"/>
      <c r="L480" s="42"/>
      <c r="M480" s="42"/>
      <c r="N480" s="42"/>
      <c r="O480" s="42"/>
      <c r="P480" s="42"/>
      <c r="Q480" s="42"/>
      <c r="R480" s="42"/>
      <c r="S480" s="42"/>
      <c r="T480" s="42"/>
      <c r="U480" s="42"/>
      <c r="V480" s="42"/>
      <c r="W480" s="42"/>
      <c r="X480" s="42"/>
      <c r="Y480" s="42"/>
      <c r="Z480" s="42"/>
    </row>
    <row r="481" ht="57.0" customHeight="1">
      <c r="A481" s="57" t="s">
        <v>247</v>
      </c>
      <c r="B481" s="57" t="s">
        <v>120</v>
      </c>
      <c r="C481" s="57" t="s">
        <v>1643</v>
      </c>
      <c r="D481" s="57" t="s">
        <v>1644</v>
      </c>
      <c r="E481" s="57" t="s">
        <v>1645</v>
      </c>
      <c r="F481" s="58">
        <v>1200000.0</v>
      </c>
      <c r="G481" s="57" t="s">
        <v>657</v>
      </c>
      <c r="H481" s="59" t="s">
        <v>252</v>
      </c>
      <c r="I481" s="60" t="s">
        <v>253</v>
      </c>
      <c r="J481" s="61"/>
      <c r="K481" s="61"/>
      <c r="L481" s="42"/>
      <c r="M481" s="42"/>
      <c r="N481" s="42"/>
      <c r="O481" s="42"/>
      <c r="P481" s="42"/>
      <c r="Q481" s="42"/>
      <c r="R481" s="42"/>
      <c r="S481" s="42"/>
      <c r="T481" s="42"/>
      <c r="U481" s="42"/>
      <c r="V481" s="42"/>
      <c r="W481" s="42"/>
      <c r="X481" s="42"/>
      <c r="Y481" s="42"/>
      <c r="Z481" s="42"/>
    </row>
    <row r="482" ht="57.0" customHeight="1">
      <c r="A482" s="57" t="s">
        <v>247</v>
      </c>
      <c r="B482" s="57" t="s">
        <v>120</v>
      </c>
      <c r="C482" s="57" t="s">
        <v>1646</v>
      </c>
      <c r="D482" s="57" t="s">
        <v>1647</v>
      </c>
      <c r="E482" s="57" t="s">
        <v>1648</v>
      </c>
      <c r="F482" s="58">
        <v>2800000.0</v>
      </c>
      <c r="G482" s="57" t="s">
        <v>657</v>
      </c>
      <c r="H482" s="59" t="s">
        <v>252</v>
      </c>
      <c r="I482" s="60" t="s">
        <v>253</v>
      </c>
      <c r="J482" s="61"/>
      <c r="K482" s="61"/>
      <c r="L482" s="42"/>
      <c r="M482" s="42"/>
      <c r="N482" s="42"/>
      <c r="O482" s="42"/>
      <c r="P482" s="42"/>
      <c r="Q482" s="42"/>
      <c r="R482" s="42"/>
      <c r="S482" s="42"/>
      <c r="T482" s="42"/>
      <c r="U482" s="42"/>
      <c r="V482" s="42"/>
      <c r="W482" s="42"/>
      <c r="X482" s="42"/>
      <c r="Y482" s="42"/>
      <c r="Z482" s="42"/>
    </row>
    <row r="483" ht="30.75" customHeight="1">
      <c r="A483" s="57" t="s">
        <v>247</v>
      </c>
      <c r="B483" s="57" t="s">
        <v>120</v>
      </c>
      <c r="C483" s="57" t="s">
        <v>1649</v>
      </c>
      <c r="D483" s="57" t="s">
        <v>1650</v>
      </c>
      <c r="E483" s="57" t="s">
        <v>1651</v>
      </c>
      <c r="F483" s="58">
        <v>1000000.0</v>
      </c>
      <c r="G483" s="57" t="s">
        <v>657</v>
      </c>
      <c r="H483" s="59" t="s">
        <v>252</v>
      </c>
      <c r="I483" s="59" t="s">
        <v>472</v>
      </c>
      <c r="J483" s="61"/>
      <c r="K483" s="61"/>
      <c r="L483" s="42"/>
      <c r="M483" s="42"/>
      <c r="N483" s="42"/>
      <c r="O483" s="42"/>
      <c r="P483" s="42"/>
      <c r="Q483" s="42"/>
      <c r="R483" s="42"/>
      <c r="S483" s="42"/>
      <c r="T483" s="42"/>
      <c r="U483" s="42"/>
      <c r="V483" s="42"/>
      <c r="W483" s="42"/>
      <c r="X483" s="42"/>
      <c r="Y483" s="42"/>
      <c r="Z483" s="42"/>
    </row>
    <row r="484" ht="30.75" customHeight="1">
      <c r="A484" s="52" t="s">
        <v>247</v>
      </c>
      <c r="B484" s="52" t="s">
        <v>123</v>
      </c>
      <c r="C484" s="52" t="s">
        <v>124</v>
      </c>
      <c r="D484" s="52" t="s">
        <v>125</v>
      </c>
      <c r="E484" s="52"/>
      <c r="F484" s="62"/>
      <c r="G484" s="52"/>
      <c r="H484" s="63"/>
      <c r="I484" s="63"/>
      <c r="J484" s="54"/>
      <c r="K484" s="54"/>
      <c r="L484" s="56"/>
      <c r="M484" s="56"/>
      <c r="N484" s="56"/>
      <c r="O484" s="56"/>
      <c r="P484" s="56"/>
      <c r="Q484" s="56"/>
      <c r="R484" s="56"/>
      <c r="S484" s="56"/>
      <c r="T484" s="56"/>
      <c r="U484" s="56"/>
      <c r="V484" s="56"/>
      <c r="W484" s="56"/>
      <c r="X484" s="56"/>
      <c r="Y484" s="56"/>
      <c r="Z484" s="56"/>
    </row>
    <row r="485" ht="57.0" customHeight="1">
      <c r="A485" s="57" t="s">
        <v>247</v>
      </c>
      <c r="B485" s="57" t="s">
        <v>123</v>
      </c>
      <c r="C485" s="57" t="s">
        <v>1652</v>
      </c>
      <c r="D485" s="57" t="s">
        <v>1653</v>
      </c>
      <c r="E485" s="57" t="s">
        <v>1654</v>
      </c>
      <c r="F485" s="58">
        <v>15500.0</v>
      </c>
      <c r="G485" s="57" t="s">
        <v>657</v>
      </c>
      <c r="H485" s="59" t="s">
        <v>952</v>
      </c>
      <c r="I485" s="59" t="s">
        <v>953</v>
      </c>
      <c r="J485" s="61"/>
      <c r="K485" s="61"/>
      <c r="L485" s="42"/>
      <c r="M485" s="42"/>
      <c r="N485" s="42"/>
      <c r="O485" s="42"/>
      <c r="P485" s="42"/>
      <c r="Q485" s="42"/>
      <c r="R485" s="42"/>
      <c r="S485" s="42"/>
      <c r="T485" s="42"/>
      <c r="U485" s="42"/>
      <c r="V485" s="42"/>
      <c r="W485" s="42"/>
      <c r="X485" s="42"/>
      <c r="Y485" s="42"/>
      <c r="Z485" s="42"/>
    </row>
    <row r="486" ht="57.0" customHeight="1">
      <c r="A486" s="57" t="s">
        <v>247</v>
      </c>
      <c r="B486" s="57" t="s">
        <v>123</v>
      </c>
      <c r="C486" s="57" t="s">
        <v>1655</v>
      </c>
      <c r="D486" s="57" t="s">
        <v>1656</v>
      </c>
      <c r="E486" s="57" t="s">
        <v>1657</v>
      </c>
      <c r="F486" s="58">
        <v>16000.0</v>
      </c>
      <c r="G486" s="57" t="s">
        <v>657</v>
      </c>
      <c r="H486" s="59" t="s">
        <v>952</v>
      </c>
      <c r="I486" s="59" t="s">
        <v>953</v>
      </c>
      <c r="J486" s="61"/>
      <c r="K486" s="61"/>
      <c r="L486" s="42"/>
      <c r="M486" s="42"/>
      <c r="N486" s="42"/>
      <c r="O486" s="42"/>
      <c r="P486" s="42"/>
      <c r="Q486" s="42"/>
      <c r="R486" s="42"/>
      <c r="S486" s="42"/>
      <c r="T486" s="42"/>
      <c r="U486" s="42"/>
      <c r="V486" s="42"/>
      <c r="W486" s="42"/>
      <c r="X486" s="42"/>
      <c r="Y486" s="42"/>
      <c r="Z486" s="42"/>
    </row>
    <row r="487" ht="57.0" customHeight="1">
      <c r="A487" s="57" t="s">
        <v>247</v>
      </c>
      <c r="B487" s="57" t="s">
        <v>123</v>
      </c>
      <c r="C487" s="57" t="s">
        <v>1658</v>
      </c>
      <c r="D487" s="57" t="s">
        <v>1659</v>
      </c>
      <c r="E487" s="57" t="s">
        <v>1660</v>
      </c>
      <c r="F487" s="58">
        <v>43000.0</v>
      </c>
      <c r="G487" s="57" t="s">
        <v>657</v>
      </c>
      <c r="H487" s="59" t="s">
        <v>952</v>
      </c>
      <c r="I487" s="59" t="s">
        <v>953</v>
      </c>
      <c r="J487" s="61"/>
      <c r="K487" s="61"/>
      <c r="L487" s="42"/>
      <c r="M487" s="42"/>
      <c r="N487" s="42"/>
      <c r="O487" s="42"/>
      <c r="P487" s="42"/>
      <c r="Q487" s="42"/>
      <c r="R487" s="42"/>
      <c r="S487" s="42"/>
      <c r="T487" s="42"/>
      <c r="U487" s="42"/>
      <c r="V487" s="42"/>
      <c r="W487" s="42"/>
      <c r="X487" s="42"/>
      <c r="Y487" s="42"/>
      <c r="Z487" s="42"/>
    </row>
    <row r="488" ht="57.0" customHeight="1">
      <c r="A488" s="57" t="s">
        <v>247</v>
      </c>
      <c r="B488" s="57" t="s">
        <v>123</v>
      </c>
      <c r="C488" s="57" t="s">
        <v>1661</v>
      </c>
      <c r="D488" s="57" t="s">
        <v>1662</v>
      </c>
      <c r="E488" s="57" t="s">
        <v>1663</v>
      </c>
      <c r="F488" s="58">
        <v>19500.0</v>
      </c>
      <c r="G488" s="57" t="s">
        <v>657</v>
      </c>
      <c r="H488" s="59" t="s">
        <v>952</v>
      </c>
      <c r="I488" s="59" t="s">
        <v>953</v>
      </c>
      <c r="J488" s="61"/>
      <c r="K488" s="61"/>
      <c r="L488" s="42"/>
      <c r="M488" s="42"/>
      <c r="N488" s="42"/>
      <c r="O488" s="42"/>
      <c r="P488" s="42"/>
      <c r="Q488" s="42"/>
      <c r="R488" s="42"/>
      <c r="S488" s="42"/>
      <c r="T488" s="42"/>
      <c r="U488" s="42"/>
      <c r="V488" s="42"/>
      <c r="W488" s="42"/>
      <c r="X488" s="42"/>
      <c r="Y488" s="42"/>
      <c r="Z488" s="42"/>
    </row>
    <row r="489" ht="57.0" customHeight="1">
      <c r="A489" s="57" t="s">
        <v>247</v>
      </c>
      <c r="B489" s="57" t="s">
        <v>123</v>
      </c>
      <c r="C489" s="57" t="s">
        <v>1664</v>
      </c>
      <c r="D489" s="57" t="s">
        <v>1665</v>
      </c>
      <c r="E489" s="57" t="s">
        <v>1666</v>
      </c>
      <c r="F489" s="58">
        <v>35000.0</v>
      </c>
      <c r="G489" s="57" t="s">
        <v>657</v>
      </c>
      <c r="H489" s="59" t="s">
        <v>252</v>
      </c>
      <c r="I489" s="60" t="s">
        <v>253</v>
      </c>
      <c r="J489" s="61"/>
      <c r="K489" s="61"/>
      <c r="L489" s="42"/>
      <c r="M489" s="42"/>
      <c r="N489" s="42"/>
      <c r="O489" s="42"/>
      <c r="P489" s="42"/>
      <c r="Q489" s="42"/>
      <c r="R489" s="42"/>
      <c r="S489" s="42"/>
      <c r="T489" s="42"/>
      <c r="U489" s="42"/>
      <c r="V489" s="42"/>
      <c r="W489" s="42"/>
      <c r="X489" s="42"/>
      <c r="Y489" s="42"/>
      <c r="Z489" s="42"/>
    </row>
    <row r="490" ht="57.0" customHeight="1">
      <c r="A490" s="57" t="s">
        <v>247</v>
      </c>
      <c r="B490" s="57" t="s">
        <v>123</v>
      </c>
      <c r="C490" s="57" t="s">
        <v>1667</v>
      </c>
      <c r="D490" s="57" t="s">
        <v>1668</v>
      </c>
      <c r="E490" s="57" t="s">
        <v>1669</v>
      </c>
      <c r="F490" s="58">
        <v>110000.0</v>
      </c>
      <c r="G490" s="57" t="s">
        <v>657</v>
      </c>
      <c r="H490" s="59" t="s">
        <v>252</v>
      </c>
      <c r="I490" s="60" t="s">
        <v>253</v>
      </c>
      <c r="J490" s="61"/>
      <c r="K490" s="61"/>
      <c r="L490" s="42"/>
      <c r="M490" s="42"/>
      <c r="N490" s="42"/>
      <c r="O490" s="42"/>
      <c r="P490" s="42"/>
      <c r="Q490" s="42"/>
      <c r="R490" s="42"/>
      <c r="S490" s="42"/>
      <c r="T490" s="42"/>
      <c r="U490" s="42"/>
      <c r="V490" s="42"/>
      <c r="W490" s="42"/>
      <c r="X490" s="42"/>
      <c r="Y490" s="42"/>
      <c r="Z490" s="42"/>
    </row>
    <row r="491" ht="57.0" customHeight="1">
      <c r="A491" s="57" t="s">
        <v>247</v>
      </c>
      <c r="B491" s="57" t="s">
        <v>123</v>
      </c>
      <c r="C491" s="57" t="s">
        <v>1670</v>
      </c>
      <c r="D491" s="57" t="s">
        <v>1671</v>
      </c>
      <c r="E491" s="57" t="s">
        <v>1672</v>
      </c>
      <c r="F491" s="58">
        <v>100000.0</v>
      </c>
      <c r="G491" s="57" t="s">
        <v>657</v>
      </c>
      <c r="H491" s="59" t="s">
        <v>252</v>
      </c>
      <c r="I491" s="60" t="s">
        <v>253</v>
      </c>
      <c r="J491" s="61"/>
      <c r="K491" s="61"/>
      <c r="L491" s="42"/>
      <c r="M491" s="42"/>
      <c r="N491" s="42"/>
      <c r="O491" s="42"/>
      <c r="P491" s="42"/>
      <c r="Q491" s="42"/>
      <c r="R491" s="42"/>
      <c r="S491" s="42"/>
      <c r="T491" s="42"/>
      <c r="U491" s="42"/>
      <c r="V491" s="42"/>
      <c r="W491" s="42"/>
      <c r="X491" s="42"/>
      <c r="Y491" s="42"/>
      <c r="Z491" s="42"/>
    </row>
    <row r="492" ht="57.0" customHeight="1">
      <c r="A492" s="57" t="s">
        <v>247</v>
      </c>
      <c r="B492" s="57" t="s">
        <v>123</v>
      </c>
      <c r="C492" s="57" t="s">
        <v>1673</v>
      </c>
      <c r="D492" s="57" t="s">
        <v>1674</v>
      </c>
      <c r="E492" s="57" t="s">
        <v>1675</v>
      </c>
      <c r="F492" s="58">
        <v>6000.0</v>
      </c>
      <c r="G492" s="57" t="s">
        <v>657</v>
      </c>
      <c r="H492" s="59" t="s">
        <v>252</v>
      </c>
      <c r="I492" s="60" t="s">
        <v>253</v>
      </c>
      <c r="J492" s="61"/>
      <c r="K492" s="61"/>
      <c r="L492" s="42"/>
      <c r="M492" s="42"/>
      <c r="N492" s="42"/>
      <c r="O492" s="42"/>
      <c r="P492" s="42"/>
      <c r="Q492" s="42"/>
      <c r="R492" s="42"/>
      <c r="S492" s="42"/>
      <c r="T492" s="42"/>
      <c r="U492" s="42"/>
      <c r="V492" s="42"/>
      <c r="W492" s="42"/>
      <c r="X492" s="42"/>
      <c r="Y492" s="42"/>
      <c r="Z492" s="42"/>
    </row>
    <row r="493" ht="57.0" customHeight="1">
      <c r="A493" s="57" t="s">
        <v>247</v>
      </c>
      <c r="B493" s="57" t="s">
        <v>123</v>
      </c>
      <c r="C493" s="57" t="s">
        <v>1676</v>
      </c>
      <c r="D493" s="57" t="s">
        <v>1677</v>
      </c>
      <c r="E493" s="57" t="s">
        <v>1678</v>
      </c>
      <c r="F493" s="58">
        <v>100000.0</v>
      </c>
      <c r="G493" s="57" t="s">
        <v>657</v>
      </c>
      <c r="H493" s="59" t="s">
        <v>252</v>
      </c>
      <c r="I493" s="60" t="s">
        <v>253</v>
      </c>
      <c r="J493" s="61"/>
      <c r="K493" s="61"/>
      <c r="L493" s="42"/>
      <c r="M493" s="42"/>
      <c r="N493" s="42"/>
      <c r="O493" s="42"/>
      <c r="P493" s="42"/>
      <c r="Q493" s="42"/>
      <c r="R493" s="42"/>
      <c r="S493" s="42"/>
      <c r="T493" s="42"/>
      <c r="U493" s="42"/>
      <c r="V493" s="42"/>
      <c r="W493" s="42"/>
      <c r="X493" s="42"/>
      <c r="Y493" s="42"/>
      <c r="Z493" s="42"/>
    </row>
    <row r="494" ht="57.0" customHeight="1">
      <c r="A494" s="57" t="s">
        <v>247</v>
      </c>
      <c r="B494" s="57" t="s">
        <v>123</v>
      </c>
      <c r="C494" s="57" t="s">
        <v>1679</v>
      </c>
      <c r="D494" s="57" t="s">
        <v>1680</v>
      </c>
      <c r="E494" s="57" t="s">
        <v>1681</v>
      </c>
      <c r="F494" s="58">
        <v>22000.0</v>
      </c>
      <c r="G494" s="57" t="s">
        <v>657</v>
      </c>
      <c r="H494" s="59" t="s">
        <v>252</v>
      </c>
      <c r="I494" s="60" t="s">
        <v>253</v>
      </c>
      <c r="J494" s="61"/>
      <c r="K494" s="61"/>
      <c r="L494" s="42"/>
      <c r="M494" s="42"/>
      <c r="N494" s="42"/>
      <c r="O494" s="42"/>
      <c r="P494" s="42"/>
      <c r="Q494" s="42"/>
      <c r="R494" s="42"/>
      <c r="S494" s="42"/>
      <c r="T494" s="42"/>
      <c r="U494" s="42"/>
      <c r="V494" s="42"/>
      <c r="W494" s="42"/>
      <c r="X494" s="42"/>
      <c r="Y494" s="42"/>
      <c r="Z494" s="42"/>
    </row>
    <row r="495" ht="57.0" customHeight="1">
      <c r="A495" s="57" t="s">
        <v>247</v>
      </c>
      <c r="B495" s="57" t="s">
        <v>123</v>
      </c>
      <c r="C495" s="57" t="s">
        <v>1682</v>
      </c>
      <c r="D495" s="57" t="s">
        <v>1683</v>
      </c>
      <c r="E495" s="57" t="s">
        <v>1684</v>
      </c>
      <c r="F495" s="58">
        <v>27000.0</v>
      </c>
      <c r="G495" s="57" t="s">
        <v>657</v>
      </c>
      <c r="H495" s="59" t="s">
        <v>252</v>
      </c>
      <c r="I495" s="60" t="s">
        <v>253</v>
      </c>
      <c r="J495" s="61"/>
      <c r="K495" s="61"/>
      <c r="L495" s="42"/>
      <c r="M495" s="42"/>
      <c r="N495" s="42"/>
      <c r="O495" s="42"/>
      <c r="P495" s="42"/>
      <c r="Q495" s="42"/>
      <c r="R495" s="42"/>
      <c r="S495" s="42"/>
      <c r="T495" s="42"/>
      <c r="U495" s="42"/>
      <c r="V495" s="42"/>
      <c r="W495" s="42"/>
      <c r="X495" s="42"/>
      <c r="Y495" s="42"/>
      <c r="Z495" s="42"/>
    </row>
    <row r="496" ht="57.0" customHeight="1">
      <c r="A496" s="57" t="s">
        <v>247</v>
      </c>
      <c r="B496" s="57" t="s">
        <v>123</v>
      </c>
      <c r="C496" s="57" t="s">
        <v>1685</v>
      </c>
      <c r="D496" s="57" t="s">
        <v>1686</v>
      </c>
      <c r="E496" s="57" t="s">
        <v>1687</v>
      </c>
      <c r="F496" s="58">
        <v>55000.0</v>
      </c>
      <c r="G496" s="57" t="s">
        <v>657</v>
      </c>
      <c r="H496" s="59" t="s">
        <v>252</v>
      </c>
      <c r="I496" s="60" t="s">
        <v>253</v>
      </c>
      <c r="J496" s="61"/>
      <c r="K496" s="61"/>
      <c r="L496" s="42"/>
      <c r="M496" s="42"/>
      <c r="N496" s="42"/>
      <c r="O496" s="42"/>
      <c r="P496" s="42"/>
      <c r="Q496" s="42"/>
      <c r="R496" s="42"/>
      <c r="S496" s="42"/>
      <c r="T496" s="42"/>
      <c r="U496" s="42"/>
      <c r="V496" s="42"/>
      <c r="W496" s="42"/>
      <c r="X496" s="42"/>
      <c r="Y496" s="42"/>
      <c r="Z496" s="42"/>
    </row>
    <row r="497" ht="57.0" customHeight="1">
      <c r="A497" s="57" t="s">
        <v>247</v>
      </c>
      <c r="B497" s="57" t="s">
        <v>123</v>
      </c>
      <c r="C497" s="57" t="s">
        <v>1688</v>
      </c>
      <c r="D497" s="57" t="s">
        <v>1689</v>
      </c>
      <c r="E497" s="57" t="s">
        <v>1690</v>
      </c>
      <c r="F497" s="58">
        <v>50000.0</v>
      </c>
      <c r="G497" s="57" t="s">
        <v>657</v>
      </c>
      <c r="H497" s="59" t="s">
        <v>252</v>
      </c>
      <c r="I497" s="60" t="s">
        <v>253</v>
      </c>
      <c r="J497" s="61"/>
      <c r="K497" s="61"/>
      <c r="L497" s="42"/>
      <c r="M497" s="42"/>
      <c r="N497" s="42"/>
      <c r="O497" s="42"/>
      <c r="P497" s="42"/>
      <c r="Q497" s="42"/>
      <c r="R497" s="42"/>
      <c r="S497" s="42"/>
      <c r="T497" s="42"/>
      <c r="U497" s="42"/>
      <c r="V497" s="42"/>
      <c r="W497" s="42"/>
      <c r="X497" s="42"/>
      <c r="Y497" s="42"/>
      <c r="Z497" s="42"/>
    </row>
    <row r="498" ht="57.0" customHeight="1">
      <c r="A498" s="57" t="s">
        <v>247</v>
      </c>
      <c r="B498" s="57" t="s">
        <v>123</v>
      </c>
      <c r="C498" s="57" t="s">
        <v>1691</v>
      </c>
      <c r="D498" s="57" t="s">
        <v>1692</v>
      </c>
      <c r="E498" s="57" t="s">
        <v>1693</v>
      </c>
      <c r="F498" s="58">
        <v>33000.0</v>
      </c>
      <c r="G498" s="57" t="s">
        <v>657</v>
      </c>
      <c r="H498" s="59" t="s">
        <v>252</v>
      </c>
      <c r="I498" s="60" t="s">
        <v>253</v>
      </c>
      <c r="J498" s="61"/>
      <c r="K498" s="61"/>
      <c r="L498" s="42"/>
      <c r="M498" s="42"/>
      <c r="N498" s="42"/>
      <c r="O498" s="42"/>
      <c r="P498" s="42"/>
      <c r="Q498" s="42"/>
      <c r="R498" s="42"/>
      <c r="S498" s="42"/>
      <c r="T498" s="42"/>
      <c r="U498" s="42"/>
      <c r="V498" s="42"/>
      <c r="W498" s="42"/>
      <c r="X498" s="42"/>
      <c r="Y498" s="42"/>
      <c r="Z498" s="42"/>
    </row>
    <row r="499" ht="57.0" customHeight="1">
      <c r="A499" s="57" t="s">
        <v>247</v>
      </c>
      <c r="B499" s="57" t="s">
        <v>123</v>
      </c>
      <c r="C499" s="57" t="s">
        <v>1694</v>
      </c>
      <c r="D499" s="57" t="s">
        <v>1695</v>
      </c>
      <c r="E499" s="57" t="s">
        <v>1696</v>
      </c>
      <c r="F499" s="58">
        <v>40000.0</v>
      </c>
      <c r="G499" s="57" t="s">
        <v>657</v>
      </c>
      <c r="H499" s="59" t="s">
        <v>252</v>
      </c>
      <c r="I499" s="60" t="s">
        <v>253</v>
      </c>
      <c r="J499" s="61"/>
      <c r="K499" s="61"/>
      <c r="L499" s="42"/>
      <c r="M499" s="42"/>
      <c r="N499" s="42"/>
      <c r="O499" s="42"/>
      <c r="P499" s="42"/>
      <c r="Q499" s="42"/>
      <c r="R499" s="42"/>
      <c r="S499" s="42"/>
      <c r="T499" s="42"/>
      <c r="U499" s="42"/>
      <c r="V499" s="42"/>
      <c r="W499" s="42"/>
      <c r="X499" s="42"/>
      <c r="Y499" s="42"/>
      <c r="Z499" s="42"/>
    </row>
    <row r="500" ht="57.0" customHeight="1">
      <c r="A500" s="57" t="s">
        <v>247</v>
      </c>
      <c r="B500" s="57" t="s">
        <v>123</v>
      </c>
      <c r="C500" s="57" t="s">
        <v>1697</v>
      </c>
      <c r="D500" s="57" t="s">
        <v>1698</v>
      </c>
      <c r="E500" s="57" t="s">
        <v>1699</v>
      </c>
      <c r="F500" s="58">
        <v>27000.0</v>
      </c>
      <c r="G500" s="57" t="s">
        <v>657</v>
      </c>
      <c r="H500" s="59" t="s">
        <v>252</v>
      </c>
      <c r="I500" s="60" t="s">
        <v>253</v>
      </c>
      <c r="J500" s="61"/>
      <c r="K500" s="61"/>
      <c r="L500" s="42"/>
      <c r="M500" s="42"/>
      <c r="N500" s="42"/>
      <c r="O500" s="42"/>
      <c r="P500" s="42"/>
      <c r="Q500" s="42"/>
      <c r="R500" s="42"/>
      <c r="S500" s="42"/>
      <c r="T500" s="42"/>
      <c r="U500" s="42"/>
      <c r="V500" s="42"/>
      <c r="W500" s="42"/>
      <c r="X500" s="42"/>
      <c r="Y500" s="42"/>
      <c r="Z500" s="42"/>
    </row>
    <row r="501" ht="85.5" customHeight="1">
      <c r="A501" s="57" t="s">
        <v>247</v>
      </c>
      <c r="B501" s="57" t="s">
        <v>123</v>
      </c>
      <c r="C501" s="57" t="s">
        <v>1700</v>
      </c>
      <c r="D501" s="57" t="s">
        <v>1701</v>
      </c>
      <c r="E501" s="57" t="s">
        <v>1702</v>
      </c>
      <c r="F501" s="58">
        <v>35000.0</v>
      </c>
      <c r="G501" s="57" t="s">
        <v>657</v>
      </c>
      <c r="H501" s="59" t="s">
        <v>252</v>
      </c>
      <c r="I501" s="60" t="s">
        <v>253</v>
      </c>
      <c r="J501" s="61"/>
      <c r="K501" s="61"/>
      <c r="L501" s="42"/>
      <c r="M501" s="42"/>
      <c r="N501" s="42"/>
      <c r="O501" s="42"/>
      <c r="P501" s="42"/>
      <c r="Q501" s="42"/>
      <c r="R501" s="42"/>
      <c r="S501" s="42"/>
      <c r="T501" s="42"/>
      <c r="U501" s="42"/>
      <c r="V501" s="42"/>
      <c r="W501" s="42"/>
      <c r="X501" s="42"/>
      <c r="Y501" s="42"/>
      <c r="Z501" s="42"/>
    </row>
    <row r="502" ht="57.0" customHeight="1">
      <c r="A502" s="57" t="s">
        <v>247</v>
      </c>
      <c r="B502" s="57" t="s">
        <v>123</v>
      </c>
      <c r="C502" s="57" t="s">
        <v>1703</v>
      </c>
      <c r="D502" s="57" t="s">
        <v>1704</v>
      </c>
      <c r="E502" s="57" t="s">
        <v>1705</v>
      </c>
      <c r="F502" s="58">
        <v>270000.0</v>
      </c>
      <c r="G502" s="57" t="s">
        <v>657</v>
      </c>
      <c r="H502" s="59" t="s">
        <v>252</v>
      </c>
      <c r="I502" s="60" t="s">
        <v>253</v>
      </c>
      <c r="J502" s="61"/>
      <c r="K502" s="61"/>
      <c r="L502" s="42"/>
      <c r="M502" s="42"/>
      <c r="N502" s="42"/>
      <c r="O502" s="42"/>
      <c r="P502" s="42"/>
      <c r="Q502" s="42"/>
      <c r="R502" s="42"/>
      <c r="S502" s="42"/>
      <c r="T502" s="42"/>
      <c r="U502" s="42"/>
      <c r="V502" s="42"/>
      <c r="W502" s="42"/>
      <c r="X502" s="42"/>
      <c r="Y502" s="42"/>
      <c r="Z502" s="42"/>
    </row>
    <row r="503" ht="57.0" customHeight="1">
      <c r="A503" s="57" t="s">
        <v>247</v>
      </c>
      <c r="B503" s="57" t="s">
        <v>123</v>
      </c>
      <c r="C503" s="57" t="s">
        <v>1706</v>
      </c>
      <c r="D503" s="57" t="s">
        <v>1707</v>
      </c>
      <c r="E503" s="57" t="s">
        <v>1708</v>
      </c>
      <c r="F503" s="58">
        <v>130000.0</v>
      </c>
      <c r="G503" s="57" t="s">
        <v>657</v>
      </c>
      <c r="H503" s="59" t="s">
        <v>252</v>
      </c>
      <c r="I503" s="60" t="s">
        <v>253</v>
      </c>
      <c r="J503" s="61"/>
      <c r="K503" s="61"/>
      <c r="L503" s="42"/>
      <c r="M503" s="42"/>
      <c r="N503" s="42"/>
      <c r="O503" s="42"/>
      <c r="P503" s="42"/>
      <c r="Q503" s="42"/>
      <c r="R503" s="42"/>
      <c r="S503" s="42"/>
      <c r="T503" s="42"/>
      <c r="U503" s="42"/>
      <c r="V503" s="42"/>
      <c r="W503" s="42"/>
      <c r="X503" s="42"/>
      <c r="Y503" s="42"/>
      <c r="Z503" s="42"/>
    </row>
    <row r="504" ht="57.0" customHeight="1">
      <c r="A504" s="57" t="s">
        <v>247</v>
      </c>
      <c r="B504" s="57" t="s">
        <v>123</v>
      </c>
      <c r="C504" s="57" t="s">
        <v>1709</v>
      </c>
      <c r="D504" s="57" t="s">
        <v>1710</v>
      </c>
      <c r="E504" s="57" t="s">
        <v>1711</v>
      </c>
      <c r="F504" s="58">
        <v>75000.0</v>
      </c>
      <c r="G504" s="57" t="s">
        <v>657</v>
      </c>
      <c r="H504" s="59" t="s">
        <v>252</v>
      </c>
      <c r="I504" s="60" t="s">
        <v>253</v>
      </c>
      <c r="J504" s="61"/>
      <c r="K504" s="61"/>
      <c r="L504" s="42"/>
      <c r="M504" s="42"/>
      <c r="N504" s="42"/>
      <c r="O504" s="42"/>
      <c r="P504" s="42"/>
      <c r="Q504" s="42"/>
      <c r="R504" s="42"/>
      <c r="S504" s="42"/>
      <c r="T504" s="42"/>
      <c r="U504" s="42"/>
      <c r="V504" s="42"/>
      <c r="W504" s="42"/>
      <c r="X504" s="42"/>
      <c r="Y504" s="42"/>
      <c r="Z504" s="42"/>
    </row>
    <row r="505" ht="114.0" customHeight="1">
      <c r="A505" s="57" t="s">
        <v>247</v>
      </c>
      <c r="B505" s="57" t="s">
        <v>123</v>
      </c>
      <c r="C505" s="57" t="s">
        <v>1712</v>
      </c>
      <c r="D505" s="57" t="s">
        <v>1713</v>
      </c>
      <c r="E505" s="57" t="s">
        <v>1714</v>
      </c>
      <c r="F505" s="58">
        <v>31000.0</v>
      </c>
      <c r="G505" s="57" t="s">
        <v>251</v>
      </c>
      <c r="H505" s="59" t="s">
        <v>594</v>
      </c>
      <c r="I505" s="59" t="s">
        <v>1715</v>
      </c>
      <c r="J505" s="61" t="s">
        <v>1716</v>
      </c>
      <c r="K505" s="67">
        <v>26207.0</v>
      </c>
      <c r="L505" s="42"/>
      <c r="M505" s="42"/>
      <c r="N505" s="42"/>
      <c r="O505" s="42"/>
      <c r="P505" s="42"/>
      <c r="Q505" s="42"/>
      <c r="R505" s="42"/>
      <c r="S505" s="42"/>
      <c r="T505" s="42"/>
      <c r="U505" s="42"/>
      <c r="V505" s="42"/>
      <c r="W505" s="42"/>
      <c r="X505" s="42"/>
      <c r="Y505" s="42"/>
      <c r="Z505" s="42"/>
    </row>
    <row r="506" ht="85.5" customHeight="1">
      <c r="A506" s="57" t="s">
        <v>247</v>
      </c>
      <c r="B506" s="57" t="s">
        <v>123</v>
      </c>
      <c r="C506" s="57" t="s">
        <v>1717</v>
      </c>
      <c r="D506" s="57" t="s">
        <v>1718</v>
      </c>
      <c r="E506" s="57" t="s">
        <v>1719</v>
      </c>
      <c r="F506" s="58">
        <v>230000.0</v>
      </c>
      <c r="G506" s="57" t="s">
        <v>467</v>
      </c>
      <c r="H506" s="59" t="s">
        <v>594</v>
      </c>
      <c r="I506" s="59" t="s">
        <v>1720</v>
      </c>
      <c r="J506" s="61" t="s">
        <v>1721</v>
      </c>
      <c r="K506" s="67">
        <v>26846.0</v>
      </c>
      <c r="L506" s="42"/>
      <c r="M506" s="42"/>
      <c r="N506" s="42"/>
      <c r="O506" s="42"/>
      <c r="P506" s="42"/>
      <c r="Q506" s="42"/>
      <c r="R506" s="42"/>
      <c r="S506" s="42"/>
      <c r="T506" s="42"/>
      <c r="U506" s="42"/>
      <c r="V506" s="42"/>
      <c r="W506" s="42"/>
      <c r="X506" s="42"/>
      <c r="Y506" s="42"/>
      <c r="Z506" s="42"/>
    </row>
    <row r="507" ht="30.75" customHeight="1">
      <c r="A507" s="52" t="s">
        <v>247</v>
      </c>
      <c r="B507" s="52" t="s">
        <v>126</v>
      </c>
      <c r="C507" s="52" t="s">
        <v>127</v>
      </c>
      <c r="D507" s="52" t="s">
        <v>128</v>
      </c>
      <c r="E507" s="52"/>
      <c r="F507" s="62"/>
      <c r="G507" s="52"/>
      <c r="H507" s="63"/>
      <c r="I507" s="63"/>
      <c r="J507" s="54"/>
      <c r="K507" s="54"/>
      <c r="L507" s="56"/>
      <c r="M507" s="56"/>
      <c r="N507" s="56"/>
      <c r="O507" s="56"/>
      <c r="P507" s="56"/>
      <c r="Q507" s="56"/>
      <c r="R507" s="56"/>
      <c r="S507" s="56"/>
      <c r="T507" s="56"/>
      <c r="U507" s="56"/>
      <c r="V507" s="56"/>
      <c r="W507" s="56"/>
      <c r="X507" s="56"/>
      <c r="Y507" s="56"/>
      <c r="Z507" s="56"/>
    </row>
    <row r="508" ht="85.5" customHeight="1">
      <c r="A508" s="57" t="s">
        <v>247</v>
      </c>
      <c r="B508" s="57" t="s">
        <v>126</v>
      </c>
      <c r="C508" s="57" t="s">
        <v>1722</v>
      </c>
      <c r="D508" s="57" t="s">
        <v>1723</v>
      </c>
      <c r="E508" s="57" t="s">
        <v>1724</v>
      </c>
      <c r="F508" s="58">
        <v>1200000.0</v>
      </c>
      <c r="G508" s="57" t="s">
        <v>251</v>
      </c>
      <c r="H508" s="59" t="s">
        <v>252</v>
      </c>
      <c r="I508" s="60" t="s">
        <v>253</v>
      </c>
      <c r="J508" s="61"/>
      <c r="K508" s="61"/>
      <c r="L508" s="42"/>
      <c r="M508" s="42"/>
      <c r="N508" s="42"/>
      <c r="O508" s="42"/>
      <c r="P508" s="42"/>
      <c r="Q508" s="42"/>
      <c r="R508" s="42"/>
      <c r="S508" s="42"/>
      <c r="T508" s="42"/>
      <c r="U508" s="42"/>
      <c r="V508" s="42"/>
      <c r="W508" s="42"/>
      <c r="X508" s="42"/>
      <c r="Y508" s="42"/>
      <c r="Z508" s="42"/>
    </row>
    <row r="509" ht="57.0" customHeight="1">
      <c r="A509" s="57" t="s">
        <v>247</v>
      </c>
      <c r="B509" s="57" t="s">
        <v>126</v>
      </c>
      <c r="C509" s="57" t="s">
        <v>1725</v>
      </c>
      <c r="D509" s="57" t="s">
        <v>1726</v>
      </c>
      <c r="E509" s="57" t="s">
        <v>1727</v>
      </c>
      <c r="F509" s="58">
        <v>270000.0</v>
      </c>
      <c r="G509" s="57" t="s">
        <v>251</v>
      </c>
      <c r="H509" s="59" t="s">
        <v>252</v>
      </c>
      <c r="I509" s="60" t="s">
        <v>253</v>
      </c>
      <c r="J509" s="61"/>
      <c r="K509" s="61"/>
      <c r="L509" s="42"/>
      <c r="M509" s="42"/>
      <c r="N509" s="42"/>
      <c r="O509" s="42"/>
      <c r="P509" s="42"/>
      <c r="Q509" s="42"/>
      <c r="R509" s="42"/>
      <c r="S509" s="42"/>
      <c r="T509" s="42"/>
      <c r="U509" s="42"/>
      <c r="V509" s="42"/>
      <c r="W509" s="42"/>
      <c r="X509" s="42"/>
      <c r="Y509" s="42"/>
      <c r="Z509" s="42"/>
    </row>
    <row r="510" ht="57.0" customHeight="1">
      <c r="A510" s="57" t="s">
        <v>247</v>
      </c>
      <c r="B510" s="57" t="s">
        <v>126</v>
      </c>
      <c r="C510" s="57" t="s">
        <v>1728</v>
      </c>
      <c r="D510" s="57" t="s">
        <v>1729</v>
      </c>
      <c r="E510" s="57" t="s">
        <v>1730</v>
      </c>
      <c r="F510" s="58">
        <v>850000.0</v>
      </c>
      <c r="G510" s="57" t="s">
        <v>1571</v>
      </c>
      <c r="H510" s="59" t="s">
        <v>252</v>
      </c>
      <c r="I510" s="60" t="s">
        <v>253</v>
      </c>
      <c r="J510" s="61"/>
      <c r="K510" s="61"/>
      <c r="L510" s="42"/>
      <c r="M510" s="42"/>
      <c r="N510" s="42"/>
      <c r="O510" s="42"/>
      <c r="P510" s="42"/>
      <c r="Q510" s="42"/>
      <c r="R510" s="42"/>
      <c r="S510" s="42"/>
      <c r="T510" s="42"/>
      <c r="U510" s="42"/>
      <c r="V510" s="42"/>
      <c r="W510" s="42"/>
      <c r="X510" s="42"/>
      <c r="Y510" s="42"/>
      <c r="Z510" s="42"/>
    </row>
    <row r="511" ht="57.0" customHeight="1">
      <c r="A511" s="57" t="s">
        <v>247</v>
      </c>
      <c r="B511" s="57" t="s">
        <v>126</v>
      </c>
      <c r="C511" s="57" t="s">
        <v>1731</v>
      </c>
      <c r="D511" s="57" t="s">
        <v>1732</v>
      </c>
      <c r="E511" s="57" t="s">
        <v>1733</v>
      </c>
      <c r="F511" s="58">
        <v>1000000.0</v>
      </c>
      <c r="G511" s="57" t="s">
        <v>1571</v>
      </c>
      <c r="H511" s="59" t="s">
        <v>252</v>
      </c>
      <c r="I511" s="60" t="s">
        <v>253</v>
      </c>
      <c r="J511" s="61"/>
      <c r="K511" s="61"/>
      <c r="L511" s="42"/>
      <c r="M511" s="42"/>
      <c r="N511" s="42"/>
      <c r="O511" s="42"/>
      <c r="P511" s="42"/>
      <c r="Q511" s="42"/>
      <c r="R511" s="42"/>
      <c r="S511" s="42"/>
      <c r="T511" s="42"/>
      <c r="U511" s="42"/>
      <c r="V511" s="42"/>
      <c r="W511" s="42"/>
      <c r="X511" s="42"/>
      <c r="Y511" s="42"/>
      <c r="Z511" s="42"/>
    </row>
    <row r="512" ht="57.0" customHeight="1">
      <c r="A512" s="57" t="s">
        <v>247</v>
      </c>
      <c r="B512" s="57" t="s">
        <v>126</v>
      </c>
      <c r="C512" s="57" t="s">
        <v>1734</v>
      </c>
      <c r="D512" s="57" t="s">
        <v>1735</v>
      </c>
      <c r="E512" s="57" t="s">
        <v>1736</v>
      </c>
      <c r="F512" s="58">
        <v>1200000.0</v>
      </c>
      <c r="G512" s="57" t="s">
        <v>1571</v>
      </c>
      <c r="H512" s="59" t="s">
        <v>252</v>
      </c>
      <c r="I512" s="60" t="s">
        <v>253</v>
      </c>
      <c r="J512" s="61"/>
      <c r="K512" s="61"/>
      <c r="L512" s="42"/>
      <c r="M512" s="42"/>
      <c r="N512" s="42"/>
      <c r="O512" s="42"/>
      <c r="P512" s="42"/>
      <c r="Q512" s="42"/>
      <c r="R512" s="42"/>
      <c r="S512" s="42"/>
      <c r="T512" s="42"/>
      <c r="U512" s="42"/>
      <c r="V512" s="42"/>
      <c r="W512" s="42"/>
      <c r="X512" s="42"/>
      <c r="Y512" s="42"/>
      <c r="Z512" s="42"/>
    </row>
    <row r="513" ht="57.0" customHeight="1">
      <c r="A513" s="57" t="s">
        <v>247</v>
      </c>
      <c r="B513" s="57" t="s">
        <v>126</v>
      </c>
      <c r="C513" s="57" t="s">
        <v>1737</v>
      </c>
      <c r="D513" s="57" t="s">
        <v>1738</v>
      </c>
      <c r="E513" s="57" t="s">
        <v>1739</v>
      </c>
      <c r="F513" s="58">
        <v>1800000.0</v>
      </c>
      <c r="G513" s="57" t="s">
        <v>1571</v>
      </c>
      <c r="H513" s="59" t="s">
        <v>252</v>
      </c>
      <c r="I513" s="60" t="s">
        <v>253</v>
      </c>
      <c r="J513" s="61"/>
      <c r="K513" s="61"/>
      <c r="L513" s="42"/>
      <c r="M513" s="42"/>
      <c r="N513" s="42"/>
      <c r="O513" s="42"/>
      <c r="P513" s="42"/>
      <c r="Q513" s="42"/>
      <c r="R513" s="42"/>
      <c r="S513" s="42"/>
      <c r="T513" s="42"/>
      <c r="U513" s="42"/>
      <c r="V513" s="42"/>
      <c r="W513" s="42"/>
      <c r="X513" s="42"/>
      <c r="Y513" s="42"/>
      <c r="Z513" s="42"/>
    </row>
    <row r="514" ht="57.0" customHeight="1">
      <c r="A514" s="57" t="s">
        <v>247</v>
      </c>
      <c r="B514" s="57" t="s">
        <v>126</v>
      </c>
      <c r="C514" s="57" t="s">
        <v>1740</v>
      </c>
      <c r="D514" s="57" t="s">
        <v>1741</v>
      </c>
      <c r="E514" s="57" t="s">
        <v>1742</v>
      </c>
      <c r="F514" s="58">
        <v>2200000.0</v>
      </c>
      <c r="G514" s="57" t="s">
        <v>1571</v>
      </c>
      <c r="H514" s="59" t="s">
        <v>252</v>
      </c>
      <c r="I514" s="60" t="s">
        <v>253</v>
      </c>
      <c r="J514" s="61"/>
      <c r="K514" s="61"/>
      <c r="L514" s="42"/>
      <c r="M514" s="42"/>
      <c r="N514" s="42"/>
      <c r="O514" s="42"/>
      <c r="P514" s="42"/>
      <c r="Q514" s="42"/>
      <c r="R514" s="42"/>
      <c r="S514" s="42"/>
      <c r="T514" s="42"/>
      <c r="U514" s="42"/>
      <c r="V514" s="42"/>
      <c r="W514" s="42"/>
      <c r="X514" s="42"/>
      <c r="Y514" s="42"/>
      <c r="Z514" s="42"/>
    </row>
    <row r="515" ht="57.0" customHeight="1">
      <c r="A515" s="57" t="s">
        <v>247</v>
      </c>
      <c r="B515" s="57" t="s">
        <v>126</v>
      </c>
      <c r="C515" s="57" t="s">
        <v>1743</v>
      </c>
      <c r="D515" s="57" t="s">
        <v>1744</v>
      </c>
      <c r="E515" s="57" t="s">
        <v>1745</v>
      </c>
      <c r="F515" s="58">
        <v>750000.0</v>
      </c>
      <c r="G515" s="57" t="s">
        <v>1571</v>
      </c>
      <c r="H515" s="59" t="s">
        <v>252</v>
      </c>
      <c r="I515" s="60" t="s">
        <v>253</v>
      </c>
      <c r="J515" s="61"/>
      <c r="K515" s="61"/>
      <c r="L515" s="42"/>
      <c r="M515" s="42"/>
      <c r="N515" s="42"/>
      <c r="O515" s="42"/>
      <c r="P515" s="42"/>
      <c r="Q515" s="42"/>
      <c r="R515" s="42"/>
      <c r="S515" s="42"/>
      <c r="T515" s="42"/>
      <c r="U515" s="42"/>
      <c r="V515" s="42"/>
      <c r="W515" s="42"/>
      <c r="X515" s="42"/>
      <c r="Y515" s="42"/>
      <c r="Z515" s="42"/>
    </row>
    <row r="516" ht="57.0" customHeight="1">
      <c r="A516" s="57" t="s">
        <v>247</v>
      </c>
      <c r="B516" s="57" t="s">
        <v>126</v>
      </c>
      <c r="C516" s="57" t="s">
        <v>1746</v>
      </c>
      <c r="D516" s="57" t="s">
        <v>1747</v>
      </c>
      <c r="E516" s="57" t="s">
        <v>1748</v>
      </c>
      <c r="F516" s="58">
        <v>900000.0</v>
      </c>
      <c r="G516" s="57" t="s">
        <v>1571</v>
      </c>
      <c r="H516" s="59" t="s">
        <v>252</v>
      </c>
      <c r="I516" s="60" t="s">
        <v>253</v>
      </c>
      <c r="J516" s="61"/>
      <c r="K516" s="61"/>
      <c r="L516" s="42"/>
      <c r="M516" s="42"/>
      <c r="N516" s="42"/>
      <c r="O516" s="42"/>
      <c r="P516" s="42"/>
      <c r="Q516" s="42"/>
      <c r="R516" s="42"/>
      <c r="S516" s="42"/>
      <c r="T516" s="42"/>
      <c r="U516" s="42"/>
      <c r="V516" s="42"/>
      <c r="W516" s="42"/>
      <c r="X516" s="42"/>
      <c r="Y516" s="42"/>
      <c r="Z516" s="42"/>
    </row>
    <row r="517" ht="57.0" customHeight="1">
      <c r="A517" s="57" t="s">
        <v>247</v>
      </c>
      <c r="B517" s="57" t="s">
        <v>126</v>
      </c>
      <c r="C517" s="57" t="s">
        <v>1749</v>
      </c>
      <c r="D517" s="57" t="s">
        <v>1750</v>
      </c>
      <c r="E517" s="57" t="s">
        <v>1751</v>
      </c>
      <c r="F517" s="58">
        <v>1000000.0</v>
      </c>
      <c r="G517" s="57" t="s">
        <v>1571</v>
      </c>
      <c r="H517" s="59" t="s">
        <v>252</v>
      </c>
      <c r="I517" s="60" t="s">
        <v>253</v>
      </c>
      <c r="J517" s="61"/>
      <c r="K517" s="61"/>
      <c r="L517" s="42"/>
      <c r="M517" s="42"/>
      <c r="N517" s="42"/>
      <c r="O517" s="42"/>
      <c r="P517" s="42"/>
      <c r="Q517" s="42"/>
      <c r="R517" s="42"/>
      <c r="S517" s="42"/>
      <c r="T517" s="42"/>
      <c r="U517" s="42"/>
      <c r="V517" s="42"/>
      <c r="W517" s="42"/>
      <c r="X517" s="42"/>
      <c r="Y517" s="42"/>
      <c r="Z517" s="42"/>
    </row>
    <row r="518" ht="57.0" customHeight="1">
      <c r="A518" s="57" t="s">
        <v>247</v>
      </c>
      <c r="B518" s="57" t="s">
        <v>126</v>
      </c>
      <c r="C518" s="57" t="s">
        <v>1752</v>
      </c>
      <c r="D518" s="57" t="s">
        <v>1753</v>
      </c>
      <c r="E518" s="57" t="s">
        <v>1754</v>
      </c>
      <c r="F518" s="58">
        <v>1100000.0</v>
      </c>
      <c r="G518" s="57" t="s">
        <v>1571</v>
      </c>
      <c r="H518" s="59" t="s">
        <v>252</v>
      </c>
      <c r="I518" s="60" t="s">
        <v>253</v>
      </c>
      <c r="J518" s="61"/>
      <c r="K518" s="61"/>
      <c r="L518" s="42"/>
      <c r="M518" s="42"/>
      <c r="N518" s="42"/>
      <c r="O518" s="42"/>
      <c r="P518" s="42"/>
      <c r="Q518" s="42"/>
      <c r="R518" s="42"/>
      <c r="S518" s="42"/>
      <c r="T518" s="42"/>
      <c r="U518" s="42"/>
      <c r="V518" s="42"/>
      <c r="W518" s="42"/>
      <c r="X518" s="42"/>
      <c r="Y518" s="42"/>
      <c r="Z518" s="42"/>
    </row>
    <row r="519" ht="57.0" customHeight="1">
      <c r="A519" s="57" t="s">
        <v>247</v>
      </c>
      <c r="B519" s="57" t="s">
        <v>126</v>
      </c>
      <c r="C519" s="57" t="s">
        <v>1755</v>
      </c>
      <c r="D519" s="57" t="s">
        <v>1756</v>
      </c>
      <c r="E519" s="57" t="s">
        <v>1757</v>
      </c>
      <c r="F519" s="58">
        <v>1500000.0</v>
      </c>
      <c r="G519" s="57" t="s">
        <v>1571</v>
      </c>
      <c r="H519" s="59" t="s">
        <v>252</v>
      </c>
      <c r="I519" s="60" t="s">
        <v>253</v>
      </c>
      <c r="J519" s="61"/>
      <c r="K519" s="61"/>
      <c r="L519" s="42"/>
      <c r="M519" s="42"/>
      <c r="N519" s="42"/>
      <c r="O519" s="42"/>
      <c r="P519" s="42"/>
      <c r="Q519" s="42"/>
      <c r="R519" s="42"/>
      <c r="S519" s="42"/>
      <c r="T519" s="42"/>
      <c r="U519" s="42"/>
      <c r="V519" s="42"/>
      <c r="W519" s="42"/>
      <c r="X519" s="42"/>
      <c r="Y519" s="42"/>
      <c r="Z519" s="42"/>
    </row>
    <row r="520" ht="30.75" customHeight="1">
      <c r="A520" s="57" t="s">
        <v>247</v>
      </c>
      <c r="B520" s="57" t="s">
        <v>126</v>
      </c>
      <c r="C520" s="57" t="s">
        <v>1758</v>
      </c>
      <c r="D520" s="57" t="s">
        <v>1759</v>
      </c>
      <c r="E520" s="57" t="s">
        <v>1760</v>
      </c>
      <c r="F520" s="58">
        <v>500000.0</v>
      </c>
      <c r="G520" s="57" t="s">
        <v>251</v>
      </c>
      <c r="H520" s="59" t="s">
        <v>252</v>
      </c>
      <c r="I520" s="60" t="s">
        <v>253</v>
      </c>
      <c r="J520" s="61"/>
      <c r="K520" s="61"/>
      <c r="L520" s="42"/>
      <c r="M520" s="42"/>
      <c r="N520" s="42"/>
      <c r="O520" s="42"/>
      <c r="P520" s="42"/>
      <c r="Q520" s="42"/>
      <c r="R520" s="42"/>
      <c r="S520" s="42"/>
      <c r="T520" s="42"/>
      <c r="U520" s="42"/>
      <c r="V520" s="42"/>
      <c r="W520" s="42"/>
      <c r="X520" s="42"/>
      <c r="Y520" s="42"/>
      <c r="Z520" s="42"/>
    </row>
    <row r="521" ht="30.75" customHeight="1">
      <c r="A521" s="57" t="s">
        <v>247</v>
      </c>
      <c r="B521" s="57" t="s">
        <v>126</v>
      </c>
      <c r="C521" s="57" t="s">
        <v>1761</v>
      </c>
      <c r="D521" s="57" t="s">
        <v>1762</v>
      </c>
      <c r="E521" s="57" t="s">
        <v>1763</v>
      </c>
      <c r="F521" s="58">
        <v>850000.0</v>
      </c>
      <c r="G521" s="57" t="s">
        <v>251</v>
      </c>
      <c r="H521" s="59" t="s">
        <v>252</v>
      </c>
      <c r="I521" s="60" t="s">
        <v>253</v>
      </c>
      <c r="J521" s="61"/>
      <c r="K521" s="61"/>
      <c r="L521" s="42"/>
      <c r="M521" s="42"/>
      <c r="N521" s="42"/>
      <c r="O521" s="42"/>
      <c r="P521" s="42"/>
      <c r="Q521" s="42"/>
      <c r="R521" s="42"/>
      <c r="S521" s="42"/>
      <c r="T521" s="42"/>
      <c r="U521" s="42"/>
      <c r="V521" s="42"/>
      <c r="W521" s="42"/>
      <c r="X521" s="42"/>
      <c r="Y521" s="42"/>
      <c r="Z521" s="42"/>
    </row>
    <row r="522" ht="30.75" customHeight="1">
      <c r="A522" s="57" t="s">
        <v>247</v>
      </c>
      <c r="B522" s="57" t="s">
        <v>126</v>
      </c>
      <c r="C522" s="57" t="s">
        <v>1764</v>
      </c>
      <c r="D522" s="57" t="s">
        <v>1765</v>
      </c>
      <c r="E522" s="57" t="s">
        <v>1766</v>
      </c>
      <c r="F522" s="58">
        <v>1400000.0</v>
      </c>
      <c r="G522" s="57" t="s">
        <v>251</v>
      </c>
      <c r="H522" s="59" t="s">
        <v>252</v>
      </c>
      <c r="I522" s="60" t="s">
        <v>253</v>
      </c>
      <c r="J522" s="61"/>
      <c r="K522" s="61"/>
      <c r="L522" s="42"/>
      <c r="M522" s="42"/>
      <c r="N522" s="42"/>
      <c r="O522" s="42"/>
      <c r="P522" s="42"/>
      <c r="Q522" s="42"/>
      <c r="R522" s="42"/>
      <c r="S522" s="42"/>
      <c r="T522" s="42"/>
      <c r="U522" s="42"/>
      <c r="V522" s="42"/>
      <c r="W522" s="42"/>
      <c r="X522" s="42"/>
      <c r="Y522" s="42"/>
      <c r="Z522" s="42"/>
    </row>
    <row r="523" ht="57.0" customHeight="1">
      <c r="A523" s="57" t="s">
        <v>247</v>
      </c>
      <c r="B523" s="57" t="s">
        <v>126</v>
      </c>
      <c r="C523" s="57" t="s">
        <v>1767</v>
      </c>
      <c r="D523" s="57" t="s">
        <v>1768</v>
      </c>
      <c r="E523" s="57" t="s">
        <v>1769</v>
      </c>
      <c r="F523" s="58">
        <v>430000.0</v>
      </c>
      <c r="G523" s="57" t="s">
        <v>251</v>
      </c>
      <c r="H523" s="59" t="s">
        <v>252</v>
      </c>
      <c r="I523" s="60" t="s">
        <v>253</v>
      </c>
      <c r="J523" s="61"/>
      <c r="K523" s="61"/>
      <c r="L523" s="42"/>
      <c r="M523" s="42"/>
      <c r="N523" s="42"/>
      <c r="O523" s="42"/>
      <c r="P523" s="42"/>
      <c r="Q523" s="42"/>
      <c r="R523" s="42"/>
      <c r="S523" s="42"/>
      <c r="T523" s="42"/>
      <c r="U523" s="42"/>
      <c r="V523" s="42"/>
      <c r="W523" s="42"/>
      <c r="X523" s="42"/>
      <c r="Y523" s="42"/>
      <c r="Z523" s="42"/>
    </row>
    <row r="524" ht="30.75" customHeight="1">
      <c r="A524" s="52" t="s">
        <v>247</v>
      </c>
      <c r="B524" s="52" t="s">
        <v>129</v>
      </c>
      <c r="C524" s="52" t="s">
        <v>130</v>
      </c>
      <c r="D524" s="52" t="s">
        <v>131</v>
      </c>
      <c r="E524" s="52"/>
      <c r="F524" s="62"/>
      <c r="G524" s="52"/>
      <c r="H524" s="63"/>
      <c r="I524" s="63"/>
      <c r="J524" s="54"/>
      <c r="K524" s="54"/>
      <c r="L524" s="56"/>
      <c r="M524" s="56"/>
      <c r="N524" s="56"/>
      <c r="O524" s="56"/>
      <c r="P524" s="56"/>
      <c r="Q524" s="56"/>
      <c r="R524" s="56"/>
      <c r="S524" s="56"/>
      <c r="T524" s="56"/>
      <c r="U524" s="56"/>
      <c r="V524" s="56"/>
      <c r="W524" s="56"/>
      <c r="X524" s="56"/>
      <c r="Y524" s="56"/>
      <c r="Z524" s="56"/>
    </row>
    <row r="525" ht="57.0" customHeight="1">
      <c r="A525" s="57" t="s">
        <v>247</v>
      </c>
      <c r="B525" s="57" t="s">
        <v>129</v>
      </c>
      <c r="C525" s="57" t="s">
        <v>1770</v>
      </c>
      <c r="D525" s="57" t="s">
        <v>1771</v>
      </c>
      <c r="E525" s="57" t="s">
        <v>1772</v>
      </c>
      <c r="F525" s="58">
        <v>13000.0</v>
      </c>
      <c r="G525" s="57" t="s">
        <v>251</v>
      </c>
      <c r="H525" s="59" t="s">
        <v>952</v>
      </c>
      <c r="I525" s="59" t="s">
        <v>953</v>
      </c>
      <c r="J525" s="61"/>
      <c r="K525" s="61"/>
      <c r="L525" s="42"/>
      <c r="M525" s="42"/>
      <c r="N525" s="42"/>
      <c r="O525" s="42"/>
      <c r="P525" s="42"/>
      <c r="Q525" s="42"/>
      <c r="R525" s="42"/>
      <c r="S525" s="42"/>
      <c r="T525" s="42"/>
      <c r="U525" s="42"/>
      <c r="V525" s="42"/>
      <c r="W525" s="42"/>
      <c r="X525" s="42"/>
      <c r="Y525" s="42"/>
      <c r="Z525" s="42"/>
    </row>
    <row r="526" ht="30.75" customHeight="1">
      <c r="A526" s="57" t="s">
        <v>247</v>
      </c>
      <c r="B526" s="57" t="s">
        <v>129</v>
      </c>
      <c r="C526" s="57" t="s">
        <v>1773</v>
      </c>
      <c r="D526" s="57" t="s">
        <v>1774</v>
      </c>
      <c r="E526" s="57" t="s">
        <v>1775</v>
      </c>
      <c r="F526" s="58">
        <v>15000.0</v>
      </c>
      <c r="G526" s="57" t="s">
        <v>251</v>
      </c>
      <c r="H526" s="59" t="s">
        <v>252</v>
      </c>
      <c r="I526" s="60" t="s">
        <v>253</v>
      </c>
      <c r="J526" s="61"/>
      <c r="K526" s="61"/>
      <c r="L526" s="42"/>
      <c r="M526" s="42"/>
      <c r="N526" s="42"/>
      <c r="O526" s="42"/>
      <c r="P526" s="42"/>
      <c r="Q526" s="42"/>
      <c r="R526" s="42"/>
      <c r="S526" s="42"/>
      <c r="T526" s="42"/>
      <c r="U526" s="42"/>
      <c r="V526" s="42"/>
      <c r="W526" s="42"/>
      <c r="X526" s="42"/>
      <c r="Y526" s="42"/>
      <c r="Z526" s="42"/>
    </row>
    <row r="527" ht="57.0" customHeight="1">
      <c r="A527" s="57" t="s">
        <v>247</v>
      </c>
      <c r="B527" s="57" t="s">
        <v>129</v>
      </c>
      <c r="C527" s="57" t="s">
        <v>1776</v>
      </c>
      <c r="D527" s="57" t="s">
        <v>1777</v>
      </c>
      <c r="E527" s="57" t="s">
        <v>1778</v>
      </c>
      <c r="F527" s="58">
        <v>15000.0</v>
      </c>
      <c r="G527" s="57" t="s">
        <v>467</v>
      </c>
      <c r="H527" s="59" t="s">
        <v>252</v>
      </c>
      <c r="I527" s="60" t="s">
        <v>253</v>
      </c>
      <c r="J527" s="61"/>
      <c r="K527" s="61"/>
      <c r="L527" s="42"/>
      <c r="M527" s="42"/>
      <c r="N527" s="42"/>
      <c r="O527" s="42"/>
      <c r="P527" s="42"/>
      <c r="Q527" s="42"/>
      <c r="R527" s="42"/>
      <c r="S527" s="42"/>
      <c r="T527" s="42"/>
      <c r="U527" s="42"/>
      <c r="V527" s="42"/>
      <c r="W527" s="42"/>
      <c r="X527" s="42"/>
      <c r="Y527" s="42"/>
      <c r="Z527" s="42"/>
    </row>
    <row r="528" ht="30.75" customHeight="1">
      <c r="A528" s="57" t="s">
        <v>247</v>
      </c>
      <c r="B528" s="57" t="s">
        <v>129</v>
      </c>
      <c r="C528" s="57" t="s">
        <v>1779</v>
      </c>
      <c r="D528" s="57" t="s">
        <v>1780</v>
      </c>
      <c r="E528" s="57" t="s">
        <v>1781</v>
      </c>
      <c r="F528" s="58">
        <v>19000.0</v>
      </c>
      <c r="G528" s="57" t="s">
        <v>251</v>
      </c>
      <c r="H528" s="59" t="s">
        <v>252</v>
      </c>
      <c r="I528" s="60" t="s">
        <v>253</v>
      </c>
      <c r="J528" s="61"/>
      <c r="K528" s="61"/>
      <c r="L528" s="42"/>
      <c r="M528" s="42"/>
      <c r="N528" s="42"/>
      <c r="O528" s="42"/>
      <c r="P528" s="42"/>
      <c r="Q528" s="42"/>
      <c r="R528" s="42"/>
      <c r="S528" s="42"/>
      <c r="T528" s="42"/>
      <c r="U528" s="42"/>
      <c r="V528" s="42"/>
      <c r="W528" s="42"/>
      <c r="X528" s="42"/>
      <c r="Y528" s="42"/>
      <c r="Z528" s="42"/>
    </row>
    <row r="529" ht="30.75" customHeight="1">
      <c r="A529" s="57" t="s">
        <v>247</v>
      </c>
      <c r="B529" s="57" t="s">
        <v>129</v>
      </c>
      <c r="C529" s="57" t="s">
        <v>1782</v>
      </c>
      <c r="D529" s="57" t="s">
        <v>1783</v>
      </c>
      <c r="E529" s="57" t="s">
        <v>1784</v>
      </c>
      <c r="F529" s="58">
        <v>25000.0</v>
      </c>
      <c r="G529" s="57" t="s">
        <v>251</v>
      </c>
      <c r="H529" s="59" t="s">
        <v>252</v>
      </c>
      <c r="I529" s="60" t="s">
        <v>253</v>
      </c>
      <c r="J529" s="61"/>
      <c r="K529" s="61"/>
      <c r="L529" s="42"/>
      <c r="M529" s="42"/>
      <c r="N529" s="42"/>
      <c r="O529" s="42"/>
      <c r="P529" s="42"/>
      <c r="Q529" s="42"/>
      <c r="R529" s="42"/>
      <c r="S529" s="42"/>
      <c r="T529" s="42"/>
      <c r="U529" s="42"/>
      <c r="V529" s="42"/>
      <c r="W529" s="42"/>
      <c r="X529" s="42"/>
      <c r="Y529" s="42"/>
      <c r="Z529" s="42"/>
    </row>
    <row r="530" ht="30.75" customHeight="1">
      <c r="A530" s="57" t="s">
        <v>247</v>
      </c>
      <c r="B530" s="57" t="s">
        <v>129</v>
      </c>
      <c r="C530" s="57" t="s">
        <v>1785</v>
      </c>
      <c r="D530" s="57" t="s">
        <v>1786</v>
      </c>
      <c r="E530" s="57" t="s">
        <v>1787</v>
      </c>
      <c r="F530" s="58">
        <v>25000.0</v>
      </c>
      <c r="G530" s="57" t="s">
        <v>251</v>
      </c>
      <c r="H530" s="59" t="s">
        <v>252</v>
      </c>
      <c r="I530" s="60" t="s">
        <v>253</v>
      </c>
      <c r="J530" s="61"/>
      <c r="K530" s="61"/>
      <c r="L530" s="42"/>
      <c r="M530" s="42"/>
      <c r="N530" s="42"/>
      <c r="O530" s="42"/>
      <c r="P530" s="42"/>
      <c r="Q530" s="42"/>
      <c r="R530" s="42"/>
      <c r="S530" s="42"/>
      <c r="T530" s="42"/>
      <c r="U530" s="42"/>
      <c r="V530" s="42"/>
      <c r="W530" s="42"/>
      <c r="X530" s="42"/>
      <c r="Y530" s="42"/>
      <c r="Z530" s="42"/>
    </row>
    <row r="531" ht="30.75" customHeight="1">
      <c r="A531" s="57" t="s">
        <v>247</v>
      </c>
      <c r="B531" s="57" t="s">
        <v>129</v>
      </c>
      <c r="C531" s="57" t="s">
        <v>1788</v>
      </c>
      <c r="D531" s="57" t="s">
        <v>1789</v>
      </c>
      <c r="E531" s="57" t="s">
        <v>1790</v>
      </c>
      <c r="F531" s="58">
        <v>25000.0</v>
      </c>
      <c r="G531" s="57" t="s">
        <v>251</v>
      </c>
      <c r="H531" s="59" t="s">
        <v>252</v>
      </c>
      <c r="I531" s="60" t="s">
        <v>253</v>
      </c>
      <c r="J531" s="61"/>
      <c r="K531" s="61"/>
      <c r="L531" s="42"/>
      <c r="M531" s="42"/>
      <c r="N531" s="42"/>
      <c r="O531" s="42"/>
      <c r="P531" s="42"/>
      <c r="Q531" s="42"/>
      <c r="R531" s="42"/>
      <c r="S531" s="42"/>
      <c r="T531" s="42"/>
      <c r="U531" s="42"/>
      <c r="V531" s="42"/>
      <c r="W531" s="42"/>
      <c r="X531" s="42"/>
      <c r="Y531" s="42"/>
      <c r="Z531" s="42"/>
    </row>
    <row r="532" ht="57.0" customHeight="1">
      <c r="A532" s="57" t="s">
        <v>247</v>
      </c>
      <c r="B532" s="57" t="s">
        <v>129</v>
      </c>
      <c r="C532" s="57" t="s">
        <v>1791</v>
      </c>
      <c r="D532" s="57" t="s">
        <v>1792</v>
      </c>
      <c r="E532" s="57" t="s">
        <v>1793</v>
      </c>
      <c r="F532" s="58">
        <v>25000.0</v>
      </c>
      <c r="G532" s="57" t="s">
        <v>467</v>
      </c>
      <c r="H532" s="59" t="s">
        <v>252</v>
      </c>
      <c r="I532" s="60" t="s">
        <v>253</v>
      </c>
      <c r="J532" s="61"/>
      <c r="K532" s="61"/>
      <c r="L532" s="42"/>
      <c r="M532" s="42"/>
      <c r="N532" s="42"/>
      <c r="O532" s="42"/>
      <c r="P532" s="42"/>
      <c r="Q532" s="42"/>
      <c r="R532" s="42"/>
      <c r="S532" s="42"/>
      <c r="T532" s="42"/>
      <c r="U532" s="42"/>
      <c r="V532" s="42"/>
      <c r="W532" s="42"/>
      <c r="X532" s="42"/>
      <c r="Y532" s="42"/>
      <c r="Z532" s="42"/>
    </row>
    <row r="533" ht="57.0" customHeight="1">
      <c r="A533" s="57" t="s">
        <v>247</v>
      </c>
      <c r="B533" s="57" t="s">
        <v>129</v>
      </c>
      <c r="C533" s="57" t="s">
        <v>1794</v>
      </c>
      <c r="D533" s="57" t="s">
        <v>1795</v>
      </c>
      <c r="E533" s="57" t="s">
        <v>1796</v>
      </c>
      <c r="F533" s="58">
        <v>27000.0</v>
      </c>
      <c r="G533" s="57" t="s">
        <v>251</v>
      </c>
      <c r="H533" s="59" t="s">
        <v>252</v>
      </c>
      <c r="I533" s="60" t="s">
        <v>253</v>
      </c>
      <c r="J533" s="61"/>
      <c r="K533" s="61"/>
      <c r="L533" s="42"/>
      <c r="M533" s="42"/>
      <c r="N533" s="42"/>
      <c r="O533" s="42"/>
      <c r="P533" s="42"/>
      <c r="Q533" s="42"/>
      <c r="R533" s="42"/>
      <c r="S533" s="42"/>
      <c r="T533" s="42"/>
      <c r="U533" s="42"/>
      <c r="V533" s="42"/>
      <c r="W533" s="42"/>
      <c r="X533" s="42"/>
      <c r="Y533" s="42"/>
      <c r="Z533" s="42"/>
    </row>
    <row r="534" ht="30.75" customHeight="1">
      <c r="A534" s="57" t="s">
        <v>247</v>
      </c>
      <c r="B534" s="57" t="s">
        <v>129</v>
      </c>
      <c r="C534" s="57" t="s">
        <v>1797</v>
      </c>
      <c r="D534" s="57" t="s">
        <v>1798</v>
      </c>
      <c r="E534" s="57" t="s">
        <v>1799</v>
      </c>
      <c r="F534" s="58">
        <v>30000.0</v>
      </c>
      <c r="G534" s="57" t="s">
        <v>251</v>
      </c>
      <c r="H534" s="59" t="s">
        <v>252</v>
      </c>
      <c r="I534" s="60" t="s">
        <v>253</v>
      </c>
      <c r="J534" s="61"/>
      <c r="K534" s="61"/>
      <c r="L534" s="42"/>
      <c r="M534" s="42"/>
      <c r="N534" s="42"/>
      <c r="O534" s="42"/>
      <c r="P534" s="42"/>
      <c r="Q534" s="42"/>
      <c r="R534" s="42"/>
      <c r="S534" s="42"/>
      <c r="T534" s="42"/>
      <c r="U534" s="42"/>
      <c r="V534" s="42"/>
      <c r="W534" s="42"/>
      <c r="X534" s="42"/>
      <c r="Y534" s="42"/>
      <c r="Z534" s="42"/>
    </row>
    <row r="535" ht="57.0" customHeight="1">
      <c r="A535" s="57" t="s">
        <v>247</v>
      </c>
      <c r="B535" s="57" t="s">
        <v>129</v>
      </c>
      <c r="C535" s="57" t="s">
        <v>1800</v>
      </c>
      <c r="D535" s="57" t="s">
        <v>1801</v>
      </c>
      <c r="E535" s="57" t="s">
        <v>1802</v>
      </c>
      <c r="F535" s="58">
        <v>35000.0</v>
      </c>
      <c r="G535" s="57" t="s">
        <v>251</v>
      </c>
      <c r="H535" s="59" t="s">
        <v>252</v>
      </c>
      <c r="I535" s="60" t="s">
        <v>253</v>
      </c>
      <c r="J535" s="61"/>
      <c r="K535" s="61"/>
      <c r="L535" s="42"/>
      <c r="M535" s="42"/>
      <c r="N535" s="42"/>
      <c r="O535" s="42"/>
      <c r="P535" s="42"/>
      <c r="Q535" s="42"/>
      <c r="R535" s="42"/>
      <c r="S535" s="42"/>
      <c r="T535" s="42"/>
      <c r="U535" s="42"/>
      <c r="V535" s="42"/>
      <c r="W535" s="42"/>
      <c r="X535" s="42"/>
      <c r="Y535" s="42"/>
      <c r="Z535" s="42"/>
    </row>
    <row r="536" ht="57.0" customHeight="1">
      <c r="A536" s="57" t="s">
        <v>247</v>
      </c>
      <c r="B536" s="57" t="s">
        <v>129</v>
      </c>
      <c r="C536" s="57" t="s">
        <v>1803</v>
      </c>
      <c r="D536" s="57" t="s">
        <v>1804</v>
      </c>
      <c r="E536" s="57" t="s">
        <v>1805</v>
      </c>
      <c r="F536" s="58">
        <v>35000.0</v>
      </c>
      <c r="G536" s="57" t="s">
        <v>251</v>
      </c>
      <c r="H536" s="59" t="s">
        <v>252</v>
      </c>
      <c r="I536" s="60" t="s">
        <v>253</v>
      </c>
      <c r="J536" s="61"/>
      <c r="K536" s="61"/>
      <c r="L536" s="42"/>
      <c r="M536" s="42"/>
      <c r="N536" s="42"/>
      <c r="O536" s="42"/>
      <c r="P536" s="42"/>
      <c r="Q536" s="42"/>
      <c r="R536" s="42"/>
      <c r="S536" s="42"/>
      <c r="T536" s="42"/>
      <c r="U536" s="42"/>
      <c r="V536" s="42"/>
      <c r="W536" s="42"/>
      <c r="X536" s="42"/>
      <c r="Y536" s="42"/>
      <c r="Z536" s="42"/>
    </row>
    <row r="537" ht="30.75" customHeight="1">
      <c r="A537" s="57" t="s">
        <v>247</v>
      </c>
      <c r="B537" s="57" t="s">
        <v>129</v>
      </c>
      <c r="C537" s="57" t="s">
        <v>1806</v>
      </c>
      <c r="D537" s="57" t="s">
        <v>1807</v>
      </c>
      <c r="E537" s="57" t="s">
        <v>1808</v>
      </c>
      <c r="F537" s="58">
        <v>40000.0</v>
      </c>
      <c r="G537" s="57" t="s">
        <v>251</v>
      </c>
      <c r="H537" s="59" t="s">
        <v>252</v>
      </c>
      <c r="I537" s="60" t="s">
        <v>253</v>
      </c>
      <c r="J537" s="61"/>
      <c r="K537" s="61"/>
      <c r="L537" s="42"/>
      <c r="M537" s="42"/>
      <c r="N537" s="42"/>
      <c r="O537" s="42"/>
      <c r="P537" s="42"/>
      <c r="Q537" s="42"/>
      <c r="R537" s="42"/>
      <c r="S537" s="42"/>
      <c r="T537" s="42"/>
      <c r="U537" s="42"/>
      <c r="V537" s="42"/>
      <c r="W537" s="42"/>
      <c r="X537" s="42"/>
      <c r="Y537" s="42"/>
      <c r="Z537" s="42"/>
    </row>
    <row r="538" ht="57.0" customHeight="1">
      <c r="A538" s="57" t="s">
        <v>247</v>
      </c>
      <c r="B538" s="57" t="s">
        <v>129</v>
      </c>
      <c r="C538" s="57" t="s">
        <v>1809</v>
      </c>
      <c r="D538" s="57" t="s">
        <v>1810</v>
      </c>
      <c r="E538" s="57" t="s">
        <v>1811</v>
      </c>
      <c r="F538" s="58">
        <v>45000.0</v>
      </c>
      <c r="G538" s="57" t="s">
        <v>251</v>
      </c>
      <c r="H538" s="59" t="s">
        <v>252</v>
      </c>
      <c r="I538" s="60" t="s">
        <v>253</v>
      </c>
      <c r="J538" s="61"/>
      <c r="K538" s="61"/>
      <c r="L538" s="42"/>
      <c r="M538" s="42"/>
      <c r="N538" s="42"/>
      <c r="O538" s="42"/>
      <c r="P538" s="42"/>
      <c r="Q538" s="42"/>
      <c r="R538" s="42"/>
      <c r="S538" s="42"/>
      <c r="T538" s="42"/>
      <c r="U538" s="42"/>
      <c r="V538" s="42"/>
      <c r="W538" s="42"/>
      <c r="X538" s="42"/>
      <c r="Y538" s="42"/>
      <c r="Z538" s="42"/>
    </row>
    <row r="539" ht="30.75" customHeight="1">
      <c r="A539" s="57" t="s">
        <v>247</v>
      </c>
      <c r="B539" s="57" t="s">
        <v>129</v>
      </c>
      <c r="C539" s="57" t="s">
        <v>1812</v>
      </c>
      <c r="D539" s="57" t="s">
        <v>1813</v>
      </c>
      <c r="E539" s="57" t="s">
        <v>1814</v>
      </c>
      <c r="F539" s="58">
        <v>50000.0</v>
      </c>
      <c r="G539" s="57" t="s">
        <v>251</v>
      </c>
      <c r="H539" s="59" t="s">
        <v>252</v>
      </c>
      <c r="I539" s="60" t="s">
        <v>253</v>
      </c>
      <c r="J539" s="61"/>
      <c r="K539" s="61"/>
      <c r="L539" s="42"/>
      <c r="M539" s="42"/>
      <c r="N539" s="42"/>
      <c r="O539" s="42"/>
      <c r="P539" s="42"/>
      <c r="Q539" s="42"/>
      <c r="R539" s="42"/>
      <c r="S539" s="42"/>
      <c r="T539" s="42"/>
      <c r="U539" s="42"/>
      <c r="V539" s="42"/>
      <c r="W539" s="42"/>
      <c r="X539" s="42"/>
      <c r="Y539" s="42"/>
      <c r="Z539" s="42"/>
    </row>
    <row r="540" ht="57.0" customHeight="1">
      <c r="A540" s="57" t="s">
        <v>247</v>
      </c>
      <c r="B540" s="57" t="s">
        <v>129</v>
      </c>
      <c r="C540" s="57" t="s">
        <v>1815</v>
      </c>
      <c r="D540" s="57" t="s">
        <v>1816</v>
      </c>
      <c r="E540" s="57" t="s">
        <v>1817</v>
      </c>
      <c r="F540" s="58">
        <v>50000.0</v>
      </c>
      <c r="G540" s="57" t="s">
        <v>251</v>
      </c>
      <c r="H540" s="59" t="s">
        <v>252</v>
      </c>
      <c r="I540" s="60" t="s">
        <v>253</v>
      </c>
      <c r="J540" s="61"/>
      <c r="K540" s="61"/>
      <c r="L540" s="42"/>
      <c r="M540" s="42"/>
      <c r="N540" s="42"/>
      <c r="O540" s="42"/>
      <c r="P540" s="42"/>
      <c r="Q540" s="42"/>
      <c r="R540" s="42"/>
      <c r="S540" s="42"/>
      <c r="T540" s="42"/>
      <c r="U540" s="42"/>
      <c r="V540" s="42"/>
      <c r="W540" s="42"/>
      <c r="X540" s="42"/>
      <c r="Y540" s="42"/>
      <c r="Z540" s="42"/>
    </row>
    <row r="541" ht="57.0" customHeight="1">
      <c r="A541" s="57" t="s">
        <v>247</v>
      </c>
      <c r="B541" s="57" t="s">
        <v>129</v>
      </c>
      <c r="C541" s="57" t="s">
        <v>1818</v>
      </c>
      <c r="D541" s="57" t="s">
        <v>1819</v>
      </c>
      <c r="E541" s="57" t="s">
        <v>1820</v>
      </c>
      <c r="F541" s="58">
        <v>55000.0</v>
      </c>
      <c r="G541" s="57" t="s">
        <v>251</v>
      </c>
      <c r="H541" s="59" t="s">
        <v>252</v>
      </c>
      <c r="I541" s="60" t="s">
        <v>253</v>
      </c>
      <c r="J541" s="61"/>
      <c r="K541" s="61"/>
      <c r="L541" s="42"/>
      <c r="M541" s="42"/>
      <c r="N541" s="42"/>
      <c r="O541" s="42"/>
      <c r="P541" s="42"/>
      <c r="Q541" s="42"/>
      <c r="R541" s="42"/>
      <c r="S541" s="42"/>
      <c r="T541" s="42"/>
      <c r="U541" s="42"/>
      <c r="V541" s="42"/>
      <c r="W541" s="42"/>
      <c r="X541" s="42"/>
      <c r="Y541" s="42"/>
      <c r="Z541" s="42"/>
    </row>
    <row r="542" ht="57.0" customHeight="1">
      <c r="A542" s="57" t="s">
        <v>247</v>
      </c>
      <c r="B542" s="57" t="s">
        <v>129</v>
      </c>
      <c r="C542" s="57" t="s">
        <v>1821</v>
      </c>
      <c r="D542" s="57" t="s">
        <v>1822</v>
      </c>
      <c r="E542" s="57" t="s">
        <v>1823</v>
      </c>
      <c r="F542" s="58">
        <v>65000.0</v>
      </c>
      <c r="G542" s="57" t="s">
        <v>467</v>
      </c>
      <c r="H542" s="59" t="s">
        <v>952</v>
      </c>
      <c r="I542" s="59" t="s">
        <v>953</v>
      </c>
      <c r="J542" s="61"/>
      <c r="K542" s="61"/>
      <c r="L542" s="42"/>
      <c r="M542" s="42"/>
      <c r="N542" s="42"/>
      <c r="O542" s="42"/>
      <c r="P542" s="42"/>
      <c r="Q542" s="42"/>
      <c r="R542" s="42"/>
      <c r="S542" s="42"/>
      <c r="T542" s="42"/>
      <c r="U542" s="42"/>
      <c r="V542" s="42"/>
      <c r="W542" s="42"/>
      <c r="X542" s="42"/>
      <c r="Y542" s="42"/>
      <c r="Z542" s="42"/>
    </row>
    <row r="543" ht="57.0" customHeight="1">
      <c r="A543" s="57" t="s">
        <v>247</v>
      </c>
      <c r="B543" s="57" t="s">
        <v>129</v>
      </c>
      <c r="C543" s="57" t="s">
        <v>1824</v>
      </c>
      <c r="D543" s="57" t="s">
        <v>1825</v>
      </c>
      <c r="E543" s="57" t="s">
        <v>1826</v>
      </c>
      <c r="F543" s="58">
        <v>70000.0</v>
      </c>
      <c r="G543" s="57" t="s">
        <v>251</v>
      </c>
      <c r="H543" s="59" t="s">
        <v>252</v>
      </c>
      <c r="I543" s="60" t="s">
        <v>253</v>
      </c>
      <c r="J543" s="61"/>
      <c r="K543" s="61"/>
      <c r="L543" s="42"/>
      <c r="M543" s="42"/>
      <c r="N543" s="42"/>
      <c r="O543" s="42"/>
      <c r="P543" s="42"/>
      <c r="Q543" s="42"/>
      <c r="R543" s="42"/>
      <c r="S543" s="42"/>
      <c r="T543" s="42"/>
      <c r="U543" s="42"/>
      <c r="V543" s="42"/>
      <c r="W543" s="42"/>
      <c r="X543" s="42"/>
      <c r="Y543" s="42"/>
      <c r="Z543" s="42"/>
    </row>
    <row r="544" ht="30.75" customHeight="1">
      <c r="A544" s="57" t="s">
        <v>247</v>
      </c>
      <c r="B544" s="57" t="s">
        <v>129</v>
      </c>
      <c r="C544" s="57" t="s">
        <v>1827</v>
      </c>
      <c r="D544" s="57" t="s">
        <v>1828</v>
      </c>
      <c r="E544" s="57" t="s">
        <v>1829</v>
      </c>
      <c r="F544" s="58">
        <v>70000.0</v>
      </c>
      <c r="G544" s="57" t="s">
        <v>251</v>
      </c>
      <c r="H544" s="59" t="s">
        <v>252</v>
      </c>
      <c r="I544" s="60" t="s">
        <v>253</v>
      </c>
      <c r="J544" s="61"/>
      <c r="K544" s="61"/>
      <c r="L544" s="42"/>
      <c r="M544" s="42"/>
      <c r="N544" s="42"/>
      <c r="O544" s="42"/>
      <c r="P544" s="42"/>
      <c r="Q544" s="42"/>
      <c r="R544" s="42"/>
      <c r="S544" s="42"/>
      <c r="T544" s="42"/>
      <c r="U544" s="42"/>
      <c r="V544" s="42"/>
      <c r="W544" s="42"/>
      <c r="X544" s="42"/>
      <c r="Y544" s="42"/>
      <c r="Z544" s="42"/>
    </row>
    <row r="545" ht="57.0" customHeight="1">
      <c r="A545" s="57" t="s">
        <v>247</v>
      </c>
      <c r="B545" s="57" t="s">
        <v>129</v>
      </c>
      <c r="C545" s="57" t="s">
        <v>1830</v>
      </c>
      <c r="D545" s="57" t="s">
        <v>1831</v>
      </c>
      <c r="E545" s="57" t="s">
        <v>1832</v>
      </c>
      <c r="F545" s="58">
        <v>70000.0</v>
      </c>
      <c r="G545" s="57" t="s">
        <v>467</v>
      </c>
      <c r="H545" s="59" t="s">
        <v>252</v>
      </c>
      <c r="I545" s="60" t="s">
        <v>253</v>
      </c>
      <c r="J545" s="61"/>
      <c r="K545" s="61"/>
      <c r="L545" s="42"/>
      <c r="M545" s="42"/>
      <c r="N545" s="42"/>
      <c r="O545" s="42"/>
      <c r="P545" s="42"/>
      <c r="Q545" s="42"/>
      <c r="R545" s="42"/>
      <c r="S545" s="42"/>
      <c r="T545" s="42"/>
      <c r="U545" s="42"/>
      <c r="V545" s="42"/>
      <c r="W545" s="42"/>
      <c r="X545" s="42"/>
      <c r="Y545" s="42"/>
      <c r="Z545" s="42"/>
    </row>
    <row r="546" ht="30.75" customHeight="1">
      <c r="A546" s="57" t="s">
        <v>247</v>
      </c>
      <c r="B546" s="57" t="s">
        <v>129</v>
      </c>
      <c r="C546" s="57" t="s">
        <v>1833</v>
      </c>
      <c r="D546" s="57" t="s">
        <v>1834</v>
      </c>
      <c r="E546" s="57" t="s">
        <v>1835</v>
      </c>
      <c r="F546" s="58">
        <v>75000.0</v>
      </c>
      <c r="G546" s="57" t="s">
        <v>251</v>
      </c>
      <c r="H546" s="59" t="s">
        <v>252</v>
      </c>
      <c r="I546" s="60" t="s">
        <v>253</v>
      </c>
      <c r="J546" s="61"/>
      <c r="K546" s="61"/>
      <c r="L546" s="42"/>
      <c r="M546" s="42"/>
      <c r="N546" s="42"/>
      <c r="O546" s="42"/>
      <c r="P546" s="42"/>
      <c r="Q546" s="42"/>
      <c r="R546" s="42"/>
      <c r="S546" s="42"/>
      <c r="T546" s="42"/>
      <c r="U546" s="42"/>
      <c r="V546" s="42"/>
      <c r="W546" s="42"/>
      <c r="X546" s="42"/>
      <c r="Y546" s="42"/>
      <c r="Z546" s="42"/>
    </row>
    <row r="547" ht="57.0" customHeight="1">
      <c r="A547" s="57" t="s">
        <v>247</v>
      </c>
      <c r="B547" s="57" t="s">
        <v>129</v>
      </c>
      <c r="C547" s="57" t="s">
        <v>1836</v>
      </c>
      <c r="D547" s="57" t="s">
        <v>1837</v>
      </c>
      <c r="E547" s="57" t="s">
        <v>1838</v>
      </c>
      <c r="F547" s="58">
        <v>85000.0</v>
      </c>
      <c r="G547" s="57" t="s">
        <v>251</v>
      </c>
      <c r="H547" s="59" t="s">
        <v>252</v>
      </c>
      <c r="I547" s="60" t="s">
        <v>253</v>
      </c>
      <c r="J547" s="61"/>
      <c r="K547" s="61"/>
      <c r="L547" s="42"/>
      <c r="M547" s="42"/>
      <c r="N547" s="42"/>
      <c r="O547" s="42"/>
      <c r="P547" s="42"/>
      <c r="Q547" s="42"/>
      <c r="R547" s="42"/>
      <c r="S547" s="42"/>
      <c r="T547" s="42"/>
      <c r="U547" s="42"/>
      <c r="V547" s="42"/>
      <c r="W547" s="42"/>
      <c r="X547" s="42"/>
      <c r="Y547" s="42"/>
      <c r="Z547" s="42"/>
    </row>
    <row r="548" ht="57.0" customHeight="1">
      <c r="A548" s="57" t="s">
        <v>247</v>
      </c>
      <c r="B548" s="57" t="s">
        <v>129</v>
      </c>
      <c r="C548" s="57" t="s">
        <v>1839</v>
      </c>
      <c r="D548" s="57" t="s">
        <v>1840</v>
      </c>
      <c r="E548" s="57" t="s">
        <v>1841</v>
      </c>
      <c r="F548" s="58">
        <v>90000.0</v>
      </c>
      <c r="G548" s="57" t="s">
        <v>251</v>
      </c>
      <c r="H548" s="59" t="s">
        <v>252</v>
      </c>
      <c r="I548" s="60" t="s">
        <v>253</v>
      </c>
      <c r="J548" s="61"/>
      <c r="K548" s="61"/>
      <c r="L548" s="42"/>
      <c r="M548" s="42"/>
      <c r="N548" s="42"/>
      <c r="O548" s="42"/>
      <c r="P548" s="42"/>
      <c r="Q548" s="42"/>
      <c r="R548" s="42"/>
      <c r="S548" s="42"/>
      <c r="T548" s="42"/>
      <c r="U548" s="42"/>
      <c r="V548" s="42"/>
      <c r="W548" s="42"/>
      <c r="X548" s="42"/>
      <c r="Y548" s="42"/>
      <c r="Z548" s="42"/>
    </row>
    <row r="549" ht="30.75" customHeight="1">
      <c r="A549" s="57" t="s">
        <v>247</v>
      </c>
      <c r="B549" s="57" t="s">
        <v>129</v>
      </c>
      <c r="C549" s="57" t="s">
        <v>1842</v>
      </c>
      <c r="D549" s="57" t="s">
        <v>1843</v>
      </c>
      <c r="E549" s="57" t="s">
        <v>1844</v>
      </c>
      <c r="F549" s="58">
        <v>110000.0</v>
      </c>
      <c r="G549" s="57" t="s">
        <v>251</v>
      </c>
      <c r="H549" s="59" t="s">
        <v>252</v>
      </c>
      <c r="I549" s="60" t="s">
        <v>253</v>
      </c>
      <c r="J549" s="61"/>
      <c r="K549" s="61"/>
      <c r="L549" s="42"/>
      <c r="M549" s="42"/>
      <c r="N549" s="42"/>
      <c r="O549" s="42"/>
      <c r="P549" s="42"/>
      <c r="Q549" s="42"/>
      <c r="R549" s="42"/>
      <c r="S549" s="42"/>
      <c r="T549" s="42"/>
      <c r="U549" s="42"/>
      <c r="V549" s="42"/>
      <c r="W549" s="42"/>
      <c r="X549" s="42"/>
      <c r="Y549" s="42"/>
      <c r="Z549" s="42"/>
    </row>
    <row r="550" ht="30.75" customHeight="1">
      <c r="A550" s="57" t="s">
        <v>247</v>
      </c>
      <c r="B550" s="57" t="s">
        <v>129</v>
      </c>
      <c r="C550" s="57" t="s">
        <v>1845</v>
      </c>
      <c r="D550" s="57" t="s">
        <v>1846</v>
      </c>
      <c r="E550" s="57" t="s">
        <v>1847</v>
      </c>
      <c r="F550" s="58">
        <v>150000.0</v>
      </c>
      <c r="G550" s="57" t="s">
        <v>251</v>
      </c>
      <c r="H550" s="59" t="s">
        <v>252</v>
      </c>
      <c r="I550" s="60" t="s">
        <v>253</v>
      </c>
      <c r="J550" s="61"/>
      <c r="K550" s="61"/>
      <c r="L550" s="42"/>
      <c r="M550" s="42"/>
      <c r="N550" s="42"/>
      <c r="O550" s="42"/>
      <c r="P550" s="42"/>
      <c r="Q550" s="42"/>
      <c r="R550" s="42"/>
      <c r="S550" s="42"/>
      <c r="T550" s="42"/>
      <c r="U550" s="42"/>
      <c r="V550" s="42"/>
      <c r="W550" s="42"/>
      <c r="X550" s="42"/>
      <c r="Y550" s="42"/>
      <c r="Z550" s="42"/>
    </row>
    <row r="551" ht="30.75" customHeight="1">
      <c r="A551" s="57" t="s">
        <v>247</v>
      </c>
      <c r="B551" s="57" t="s">
        <v>129</v>
      </c>
      <c r="C551" s="57" t="s">
        <v>1848</v>
      </c>
      <c r="D551" s="57" t="s">
        <v>1849</v>
      </c>
      <c r="E551" s="57" t="s">
        <v>1850</v>
      </c>
      <c r="F551" s="58">
        <v>160000.0</v>
      </c>
      <c r="G551" s="57" t="s">
        <v>251</v>
      </c>
      <c r="H551" s="59" t="s">
        <v>252</v>
      </c>
      <c r="I551" s="60" t="s">
        <v>253</v>
      </c>
      <c r="J551" s="61"/>
      <c r="K551" s="61"/>
      <c r="L551" s="42"/>
      <c r="M551" s="42"/>
      <c r="N551" s="42"/>
      <c r="O551" s="42"/>
      <c r="P551" s="42"/>
      <c r="Q551" s="42"/>
      <c r="R551" s="42"/>
      <c r="S551" s="42"/>
      <c r="T551" s="42"/>
      <c r="U551" s="42"/>
      <c r="V551" s="42"/>
      <c r="W551" s="42"/>
      <c r="X551" s="42"/>
      <c r="Y551" s="42"/>
      <c r="Z551" s="42"/>
    </row>
    <row r="552" ht="30.75" customHeight="1">
      <c r="A552" s="57" t="s">
        <v>247</v>
      </c>
      <c r="B552" s="57" t="s">
        <v>129</v>
      </c>
      <c r="C552" s="57" t="s">
        <v>1851</v>
      </c>
      <c r="D552" s="57" t="s">
        <v>1852</v>
      </c>
      <c r="E552" s="57" t="s">
        <v>1853</v>
      </c>
      <c r="F552" s="58">
        <v>175000.0</v>
      </c>
      <c r="G552" s="57" t="s">
        <v>467</v>
      </c>
      <c r="H552" s="59" t="s">
        <v>252</v>
      </c>
      <c r="I552" s="60" t="s">
        <v>253</v>
      </c>
      <c r="J552" s="61"/>
      <c r="K552" s="61"/>
      <c r="L552" s="42"/>
      <c r="M552" s="42"/>
      <c r="N552" s="42"/>
      <c r="O552" s="42"/>
      <c r="P552" s="42"/>
      <c r="Q552" s="42"/>
      <c r="R552" s="42"/>
      <c r="S552" s="42"/>
      <c r="T552" s="42"/>
      <c r="U552" s="42"/>
      <c r="V552" s="42"/>
      <c r="W552" s="42"/>
      <c r="X552" s="42"/>
      <c r="Y552" s="42"/>
      <c r="Z552" s="42"/>
    </row>
    <row r="553" ht="30.75" customHeight="1">
      <c r="A553" s="57" t="s">
        <v>247</v>
      </c>
      <c r="B553" s="57" t="s">
        <v>129</v>
      </c>
      <c r="C553" s="57" t="s">
        <v>1854</v>
      </c>
      <c r="D553" s="57" t="s">
        <v>1855</v>
      </c>
      <c r="E553" s="57" t="s">
        <v>1856</v>
      </c>
      <c r="F553" s="58">
        <v>200000.0</v>
      </c>
      <c r="G553" s="57" t="s">
        <v>467</v>
      </c>
      <c r="H553" s="59" t="s">
        <v>252</v>
      </c>
      <c r="I553" s="60" t="s">
        <v>253</v>
      </c>
      <c r="J553" s="61"/>
      <c r="K553" s="61"/>
      <c r="L553" s="42"/>
      <c r="M553" s="42"/>
      <c r="N553" s="42"/>
      <c r="O553" s="42"/>
      <c r="P553" s="42"/>
      <c r="Q553" s="42"/>
      <c r="R553" s="42"/>
      <c r="S553" s="42"/>
      <c r="T553" s="42"/>
      <c r="U553" s="42"/>
      <c r="V553" s="42"/>
      <c r="W553" s="42"/>
      <c r="X553" s="42"/>
      <c r="Y553" s="42"/>
      <c r="Z553" s="42"/>
    </row>
    <row r="554" ht="30.75" customHeight="1">
      <c r="A554" s="57" t="s">
        <v>247</v>
      </c>
      <c r="B554" s="57" t="s">
        <v>129</v>
      </c>
      <c r="C554" s="57" t="s">
        <v>1857</v>
      </c>
      <c r="D554" s="57" t="s">
        <v>1858</v>
      </c>
      <c r="E554" s="57" t="s">
        <v>1859</v>
      </c>
      <c r="F554" s="58">
        <v>300000.0</v>
      </c>
      <c r="G554" s="57" t="s">
        <v>1860</v>
      </c>
      <c r="H554" s="59" t="s">
        <v>252</v>
      </c>
      <c r="I554" s="60" t="s">
        <v>253</v>
      </c>
      <c r="J554" s="61"/>
      <c r="K554" s="61"/>
      <c r="L554" s="42"/>
      <c r="M554" s="42"/>
      <c r="N554" s="42"/>
      <c r="O554" s="42"/>
      <c r="P554" s="42"/>
      <c r="Q554" s="42"/>
      <c r="R554" s="42"/>
      <c r="S554" s="42"/>
      <c r="T554" s="42"/>
      <c r="U554" s="42"/>
      <c r="V554" s="42"/>
      <c r="W554" s="42"/>
      <c r="X554" s="42"/>
      <c r="Y554" s="42"/>
      <c r="Z554" s="42"/>
    </row>
    <row r="555" ht="30.75" customHeight="1">
      <c r="A555" s="57" t="s">
        <v>247</v>
      </c>
      <c r="B555" s="57" t="s">
        <v>129</v>
      </c>
      <c r="C555" s="57" t="s">
        <v>1861</v>
      </c>
      <c r="D555" s="57" t="s">
        <v>1862</v>
      </c>
      <c r="E555" s="57" t="s">
        <v>1863</v>
      </c>
      <c r="F555" s="58">
        <v>400000.0</v>
      </c>
      <c r="G555" s="57" t="s">
        <v>251</v>
      </c>
      <c r="H555" s="59" t="s">
        <v>252</v>
      </c>
      <c r="I555" s="60" t="s">
        <v>253</v>
      </c>
      <c r="J555" s="61"/>
      <c r="K555" s="61"/>
      <c r="L555" s="42"/>
      <c r="M555" s="42"/>
      <c r="N555" s="42"/>
      <c r="O555" s="42"/>
      <c r="P555" s="42"/>
      <c r="Q555" s="42"/>
      <c r="R555" s="42"/>
      <c r="S555" s="42"/>
      <c r="T555" s="42"/>
      <c r="U555" s="42"/>
      <c r="V555" s="42"/>
      <c r="W555" s="42"/>
      <c r="X555" s="42"/>
      <c r="Y555" s="42"/>
      <c r="Z555" s="42"/>
    </row>
    <row r="556" ht="57.0" customHeight="1">
      <c r="A556" s="57" t="s">
        <v>247</v>
      </c>
      <c r="B556" s="57" t="s">
        <v>129</v>
      </c>
      <c r="C556" s="57" t="s">
        <v>1864</v>
      </c>
      <c r="D556" s="57" t="s">
        <v>1865</v>
      </c>
      <c r="E556" s="57" t="s">
        <v>1866</v>
      </c>
      <c r="F556" s="58">
        <v>440000.0</v>
      </c>
      <c r="G556" s="57" t="s">
        <v>251</v>
      </c>
      <c r="H556" s="59" t="s">
        <v>252</v>
      </c>
      <c r="I556" s="60" t="s">
        <v>253</v>
      </c>
      <c r="J556" s="61"/>
      <c r="K556" s="61"/>
      <c r="L556" s="42"/>
      <c r="M556" s="42"/>
      <c r="N556" s="42"/>
      <c r="O556" s="42"/>
      <c r="P556" s="42"/>
      <c r="Q556" s="42"/>
      <c r="R556" s="42"/>
      <c r="S556" s="42"/>
      <c r="T556" s="42"/>
      <c r="U556" s="42"/>
      <c r="V556" s="42"/>
      <c r="W556" s="42"/>
      <c r="X556" s="42"/>
      <c r="Y556" s="42"/>
      <c r="Z556" s="42"/>
    </row>
    <row r="557" ht="30.75" customHeight="1">
      <c r="A557" s="57" t="s">
        <v>247</v>
      </c>
      <c r="B557" s="57" t="s">
        <v>129</v>
      </c>
      <c r="C557" s="57" t="s">
        <v>1867</v>
      </c>
      <c r="D557" s="57" t="s">
        <v>1868</v>
      </c>
      <c r="E557" s="57"/>
      <c r="F557" s="58">
        <v>460000.0</v>
      </c>
      <c r="G557" s="57" t="s">
        <v>467</v>
      </c>
      <c r="H557" s="59" t="s">
        <v>952</v>
      </c>
      <c r="I557" s="59" t="s">
        <v>953</v>
      </c>
      <c r="J557" s="61"/>
      <c r="K557" s="61"/>
      <c r="L557" s="42"/>
      <c r="M557" s="42"/>
      <c r="N557" s="42"/>
      <c r="O557" s="42"/>
      <c r="P557" s="42"/>
      <c r="Q557" s="42"/>
      <c r="R557" s="42"/>
      <c r="S557" s="42"/>
      <c r="T557" s="42"/>
      <c r="U557" s="42"/>
      <c r="V557" s="42"/>
      <c r="W557" s="42"/>
      <c r="X557" s="42"/>
      <c r="Y557" s="42"/>
      <c r="Z557" s="42"/>
    </row>
    <row r="558" ht="57.0" customHeight="1">
      <c r="A558" s="57" t="s">
        <v>247</v>
      </c>
      <c r="B558" s="57" t="s">
        <v>129</v>
      </c>
      <c r="C558" s="57" t="s">
        <v>1869</v>
      </c>
      <c r="D558" s="57" t="s">
        <v>1870</v>
      </c>
      <c r="E558" s="57" t="s">
        <v>1871</v>
      </c>
      <c r="F558" s="58">
        <v>1600000.0</v>
      </c>
      <c r="G558" s="57" t="s">
        <v>251</v>
      </c>
      <c r="H558" s="59" t="s">
        <v>252</v>
      </c>
      <c r="I558" s="60" t="s">
        <v>253</v>
      </c>
      <c r="J558" s="61"/>
      <c r="K558" s="61"/>
      <c r="L558" s="42"/>
      <c r="M558" s="42"/>
      <c r="N558" s="42"/>
      <c r="O558" s="42"/>
      <c r="P558" s="42"/>
      <c r="Q558" s="42"/>
      <c r="R558" s="42"/>
      <c r="S558" s="42"/>
      <c r="T558" s="42"/>
      <c r="U558" s="42"/>
      <c r="V558" s="42"/>
      <c r="W558" s="42"/>
      <c r="X558" s="42"/>
      <c r="Y558" s="42"/>
      <c r="Z558" s="42"/>
    </row>
    <row r="559" ht="30.75" customHeight="1">
      <c r="A559" s="57" t="s">
        <v>247</v>
      </c>
      <c r="B559" s="57" t="s">
        <v>129</v>
      </c>
      <c r="C559" s="57" t="s">
        <v>1872</v>
      </c>
      <c r="D559" s="57" t="s">
        <v>1873</v>
      </c>
      <c r="E559" s="57" t="s">
        <v>1874</v>
      </c>
      <c r="F559" s="58">
        <v>4800000.0</v>
      </c>
      <c r="G559" s="57" t="s">
        <v>251</v>
      </c>
      <c r="H559" s="59" t="s">
        <v>594</v>
      </c>
      <c r="I559" s="59" t="s">
        <v>1875</v>
      </c>
      <c r="J559" s="61" t="s">
        <v>1876</v>
      </c>
      <c r="K559" s="67">
        <v>25204.0</v>
      </c>
      <c r="L559" s="42"/>
      <c r="M559" s="42"/>
      <c r="N559" s="42"/>
      <c r="O559" s="42"/>
      <c r="P559" s="42"/>
      <c r="Q559" s="42"/>
      <c r="R559" s="42"/>
      <c r="S559" s="42"/>
      <c r="T559" s="42"/>
      <c r="U559" s="42"/>
      <c r="V559" s="42"/>
      <c r="W559" s="42"/>
      <c r="X559" s="42"/>
      <c r="Y559" s="42"/>
      <c r="Z559" s="42"/>
    </row>
    <row r="560" ht="57.0" customHeight="1">
      <c r="A560" s="57" t="s">
        <v>247</v>
      </c>
      <c r="B560" s="57" t="s">
        <v>129</v>
      </c>
      <c r="C560" s="57" t="s">
        <v>1877</v>
      </c>
      <c r="D560" s="57" t="s">
        <v>1878</v>
      </c>
      <c r="E560" s="57" t="s">
        <v>1879</v>
      </c>
      <c r="F560" s="58">
        <v>190000.0</v>
      </c>
      <c r="G560" s="57" t="s">
        <v>251</v>
      </c>
      <c r="H560" s="59" t="s">
        <v>252</v>
      </c>
      <c r="I560" s="59" t="s">
        <v>472</v>
      </c>
      <c r="J560" s="61"/>
      <c r="K560" s="61"/>
      <c r="L560" s="42"/>
      <c r="M560" s="42"/>
      <c r="N560" s="42"/>
      <c r="O560" s="42"/>
      <c r="P560" s="42"/>
      <c r="Q560" s="42"/>
      <c r="R560" s="42"/>
      <c r="S560" s="42"/>
      <c r="T560" s="42"/>
      <c r="U560" s="42"/>
      <c r="V560" s="42"/>
      <c r="W560" s="42"/>
      <c r="X560" s="42"/>
      <c r="Y560" s="42"/>
      <c r="Z560" s="42"/>
    </row>
    <row r="561" ht="57.0" customHeight="1">
      <c r="A561" s="57" t="s">
        <v>247</v>
      </c>
      <c r="B561" s="57" t="s">
        <v>129</v>
      </c>
      <c r="C561" s="57" t="s">
        <v>1880</v>
      </c>
      <c r="D561" s="57" t="s">
        <v>1881</v>
      </c>
      <c r="E561" s="57" t="s">
        <v>1882</v>
      </c>
      <c r="F561" s="58">
        <v>4815000.0</v>
      </c>
      <c r="G561" s="57" t="s">
        <v>251</v>
      </c>
      <c r="H561" s="59" t="s">
        <v>252</v>
      </c>
      <c r="I561" s="59" t="s">
        <v>472</v>
      </c>
      <c r="J561" s="61"/>
      <c r="K561" s="61"/>
      <c r="L561" s="42"/>
      <c r="M561" s="42"/>
      <c r="N561" s="42"/>
      <c r="O561" s="42"/>
      <c r="P561" s="42"/>
      <c r="Q561" s="42"/>
      <c r="R561" s="42"/>
      <c r="S561" s="42"/>
      <c r="T561" s="42"/>
      <c r="U561" s="42"/>
      <c r="V561" s="42"/>
      <c r="W561" s="42"/>
      <c r="X561" s="42"/>
      <c r="Y561" s="42"/>
      <c r="Z561" s="42"/>
    </row>
    <row r="562" ht="30.75" customHeight="1">
      <c r="A562" s="57" t="s">
        <v>247</v>
      </c>
      <c r="B562" s="57" t="s">
        <v>129</v>
      </c>
      <c r="C562" s="57" t="s">
        <v>1883</v>
      </c>
      <c r="D562" s="57" t="s">
        <v>1884</v>
      </c>
      <c r="E562" s="57" t="s">
        <v>1885</v>
      </c>
      <c r="F562" s="58">
        <v>2000000.0</v>
      </c>
      <c r="G562" s="57" t="s">
        <v>251</v>
      </c>
      <c r="H562" s="59" t="s">
        <v>252</v>
      </c>
      <c r="I562" s="59" t="s">
        <v>472</v>
      </c>
      <c r="J562" s="61"/>
      <c r="K562" s="61"/>
      <c r="L562" s="42"/>
      <c r="M562" s="42"/>
      <c r="N562" s="42"/>
      <c r="O562" s="42"/>
      <c r="P562" s="42"/>
      <c r="Q562" s="42"/>
      <c r="R562" s="42"/>
      <c r="S562" s="42"/>
      <c r="T562" s="42"/>
      <c r="U562" s="42"/>
      <c r="V562" s="42"/>
      <c r="W562" s="42"/>
      <c r="X562" s="42"/>
      <c r="Y562" s="42"/>
      <c r="Z562" s="42"/>
    </row>
    <row r="563" ht="28.5" customHeight="1">
      <c r="A563" s="57" t="s">
        <v>247</v>
      </c>
      <c r="B563" s="57" t="s">
        <v>129</v>
      </c>
      <c r="C563" s="57" t="s">
        <v>1886</v>
      </c>
      <c r="D563" s="57" t="s">
        <v>1887</v>
      </c>
      <c r="E563" s="57" t="s">
        <v>1888</v>
      </c>
      <c r="F563" s="58">
        <v>1400000.0</v>
      </c>
      <c r="G563" s="57" t="s">
        <v>467</v>
      </c>
      <c r="H563" s="59" t="s">
        <v>252</v>
      </c>
      <c r="I563" s="59" t="s">
        <v>472</v>
      </c>
      <c r="J563" s="61"/>
      <c r="K563" s="61"/>
      <c r="L563" s="42"/>
      <c r="M563" s="42"/>
      <c r="N563" s="42"/>
      <c r="O563" s="42"/>
      <c r="P563" s="42"/>
      <c r="Q563" s="42"/>
      <c r="R563" s="42"/>
      <c r="S563" s="42"/>
      <c r="T563" s="42"/>
      <c r="U563" s="42"/>
      <c r="V563" s="42"/>
      <c r="W563" s="42"/>
      <c r="X563" s="42"/>
      <c r="Y563" s="42"/>
      <c r="Z563" s="42"/>
    </row>
    <row r="564" ht="28.5" customHeight="1">
      <c r="A564" s="57" t="s">
        <v>247</v>
      </c>
      <c r="B564" s="57" t="s">
        <v>129</v>
      </c>
      <c r="C564" s="57" t="s">
        <v>1889</v>
      </c>
      <c r="D564" s="57" t="s">
        <v>1890</v>
      </c>
      <c r="E564" s="57" t="s">
        <v>1891</v>
      </c>
      <c r="F564" s="58">
        <v>110000.0</v>
      </c>
      <c r="G564" s="57" t="s">
        <v>251</v>
      </c>
      <c r="H564" s="59" t="s">
        <v>252</v>
      </c>
      <c r="I564" s="59" t="s">
        <v>472</v>
      </c>
      <c r="J564" s="61"/>
      <c r="K564" s="61"/>
      <c r="L564" s="42"/>
      <c r="M564" s="42"/>
      <c r="N564" s="42"/>
      <c r="O564" s="42"/>
      <c r="P564" s="42"/>
      <c r="Q564" s="42"/>
      <c r="R564" s="42"/>
      <c r="S564" s="42"/>
      <c r="T564" s="42"/>
      <c r="U564" s="42"/>
      <c r="V564" s="42"/>
      <c r="W564" s="42"/>
      <c r="X564" s="42"/>
      <c r="Y564" s="42"/>
      <c r="Z564" s="42"/>
    </row>
    <row r="565" ht="28.5" customHeight="1">
      <c r="A565" s="57" t="s">
        <v>247</v>
      </c>
      <c r="B565" s="57" t="s">
        <v>129</v>
      </c>
      <c r="C565" s="57" t="s">
        <v>1892</v>
      </c>
      <c r="D565" s="57" t="s">
        <v>1893</v>
      </c>
      <c r="E565" s="57" t="s">
        <v>1894</v>
      </c>
      <c r="F565" s="58">
        <v>50000.0</v>
      </c>
      <c r="G565" s="57" t="s">
        <v>251</v>
      </c>
      <c r="H565" s="59" t="s">
        <v>252</v>
      </c>
      <c r="I565" s="59" t="s">
        <v>472</v>
      </c>
      <c r="J565" s="61"/>
      <c r="K565" s="61"/>
      <c r="L565" s="42"/>
      <c r="M565" s="42"/>
      <c r="N565" s="42"/>
      <c r="O565" s="42"/>
      <c r="P565" s="42"/>
      <c r="Q565" s="42"/>
      <c r="R565" s="42"/>
      <c r="S565" s="42"/>
      <c r="T565" s="42"/>
      <c r="U565" s="42"/>
      <c r="V565" s="42"/>
      <c r="W565" s="42"/>
      <c r="X565" s="42"/>
      <c r="Y565" s="42"/>
      <c r="Z565" s="42"/>
    </row>
    <row r="566" ht="28.5" customHeight="1">
      <c r="A566" s="57" t="s">
        <v>247</v>
      </c>
      <c r="B566" s="57" t="s">
        <v>129</v>
      </c>
      <c r="C566" s="57" t="s">
        <v>1895</v>
      </c>
      <c r="D566" s="57" t="s">
        <v>1896</v>
      </c>
      <c r="E566" s="57" t="s">
        <v>1897</v>
      </c>
      <c r="F566" s="58">
        <v>80000.0</v>
      </c>
      <c r="G566" s="57" t="s">
        <v>251</v>
      </c>
      <c r="H566" s="59" t="s">
        <v>252</v>
      </c>
      <c r="I566" s="59" t="s">
        <v>472</v>
      </c>
      <c r="J566" s="61"/>
      <c r="K566" s="61"/>
      <c r="L566" s="42"/>
      <c r="M566" s="42"/>
      <c r="N566" s="42"/>
      <c r="O566" s="42"/>
      <c r="P566" s="42"/>
      <c r="Q566" s="42"/>
      <c r="R566" s="42"/>
      <c r="S566" s="42"/>
      <c r="T566" s="42"/>
      <c r="U566" s="42"/>
      <c r="V566" s="42"/>
      <c r="W566" s="42"/>
      <c r="X566" s="42"/>
      <c r="Y566" s="42"/>
      <c r="Z566" s="42"/>
    </row>
    <row r="567" ht="57.0" customHeight="1">
      <c r="A567" s="57" t="s">
        <v>247</v>
      </c>
      <c r="B567" s="57" t="s">
        <v>129</v>
      </c>
      <c r="C567" s="57" t="s">
        <v>1898</v>
      </c>
      <c r="D567" s="57" t="s">
        <v>1899</v>
      </c>
      <c r="E567" s="57" t="s">
        <v>1900</v>
      </c>
      <c r="F567" s="58">
        <v>150000.0</v>
      </c>
      <c r="G567" s="57" t="s">
        <v>251</v>
      </c>
      <c r="H567" s="59" t="s">
        <v>252</v>
      </c>
      <c r="I567" s="60" t="s">
        <v>253</v>
      </c>
      <c r="J567" s="61"/>
      <c r="K567" s="61"/>
      <c r="L567" s="42"/>
      <c r="M567" s="42"/>
      <c r="N567" s="42"/>
      <c r="O567" s="42"/>
      <c r="P567" s="42"/>
      <c r="Q567" s="42"/>
      <c r="R567" s="42"/>
      <c r="S567" s="42"/>
      <c r="T567" s="42"/>
      <c r="U567" s="42"/>
      <c r="V567" s="42"/>
      <c r="W567" s="42"/>
      <c r="X567" s="42"/>
      <c r="Y567" s="42"/>
      <c r="Z567" s="42"/>
    </row>
    <row r="568" ht="57.0" customHeight="1">
      <c r="A568" s="57" t="s">
        <v>247</v>
      </c>
      <c r="B568" s="57" t="s">
        <v>129</v>
      </c>
      <c r="C568" s="57" t="s">
        <v>1901</v>
      </c>
      <c r="D568" s="57" t="s">
        <v>1902</v>
      </c>
      <c r="E568" s="57" t="s">
        <v>1903</v>
      </c>
      <c r="F568" s="58">
        <v>1800000.0</v>
      </c>
      <c r="G568" s="57" t="s">
        <v>251</v>
      </c>
      <c r="H568" s="59" t="s">
        <v>252</v>
      </c>
      <c r="I568" s="60" t="s">
        <v>253</v>
      </c>
      <c r="J568" s="61"/>
      <c r="K568" s="61"/>
      <c r="L568" s="42"/>
      <c r="M568" s="42"/>
      <c r="N568" s="42"/>
      <c r="O568" s="42"/>
      <c r="P568" s="42"/>
      <c r="Q568" s="42"/>
      <c r="R568" s="42"/>
      <c r="S568" s="42"/>
      <c r="T568" s="42"/>
      <c r="U568" s="42"/>
      <c r="V568" s="42"/>
      <c r="W568" s="42"/>
      <c r="X568" s="42"/>
      <c r="Y568" s="42"/>
      <c r="Z568" s="42"/>
    </row>
    <row r="569" ht="57.0" customHeight="1">
      <c r="A569" s="57" t="s">
        <v>247</v>
      </c>
      <c r="B569" s="57" t="s">
        <v>129</v>
      </c>
      <c r="C569" s="57" t="s">
        <v>1904</v>
      </c>
      <c r="D569" s="57" t="s">
        <v>1905</v>
      </c>
      <c r="E569" s="57" t="s">
        <v>1906</v>
      </c>
      <c r="F569" s="58">
        <v>2800000.0</v>
      </c>
      <c r="G569" s="57" t="s">
        <v>251</v>
      </c>
      <c r="H569" s="59" t="s">
        <v>252</v>
      </c>
      <c r="I569" s="60" t="s">
        <v>253</v>
      </c>
      <c r="J569" s="61"/>
      <c r="K569" s="61"/>
      <c r="L569" s="42"/>
      <c r="M569" s="42"/>
      <c r="N569" s="42"/>
      <c r="O569" s="42"/>
      <c r="P569" s="42"/>
      <c r="Q569" s="42"/>
      <c r="R569" s="42"/>
      <c r="S569" s="42"/>
      <c r="T569" s="42"/>
      <c r="U569" s="42"/>
      <c r="V569" s="42"/>
      <c r="W569" s="42"/>
      <c r="X569" s="42"/>
      <c r="Y569" s="42"/>
      <c r="Z569" s="42"/>
    </row>
    <row r="570" ht="57.0" customHeight="1">
      <c r="A570" s="57" t="s">
        <v>247</v>
      </c>
      <c r="B570" s="57" t="s">
        <v>129</v>
      </c>
      <c r="C570" s="57" t="s">
        <v>1907</v>
      </c>
      <c r="D570" s="57" t="s">
        <v>1908</v>
      </c>
      <c r="E570" s="57"/>
      <c r="F570" s="58">
        <v>430000.0</v>
      </c>
      <c r="G570" s="57" t="s">
        <v>251</v>
      </c>
      <c r="H570" s="59" t="s">
        <v>594</v>
      </c>
      <c r="I570" s="60" t="s">
        <v>272</v>
      </c>
      <c r="J570" s="61" t="s">
        <v>1909</v>
      </c>
      <c r="K570" s="67">
        <v>28034.0</v>
      </c>
      <c r="L570" s="42"/>
      <c r="M570" s="42"/>
      <c r="N570" s="42"/>
      <c r="O570" s="42"/>
      <c r="P570" s="42"/>
      <c r="Q570" s="42"/>
      <c r="R570" s="42"/>
      <c r="S570" s="42"/>
      <c r="T570" s="42"/>
      <c r="U570" s="42"/>
      <c r="V570" s="42"/>
      <c r="W570" s="42"/>
      <c r="X570" s="42"/>
      <c r="Y570" s="42"/>
      <c r="Z570" s="42"/>
    </row>
    <row r="571" ht="57.0" customHeight="1">
      <c r="A571" s="57" t="s">
        <v>247</v>
      </c>
      <c r="B571" s="57" t="s">
        <v>129</v>
      </c>
      <c r="C571" s="57" t="s">
        <v>1910</v>
      </c>
      <c r="D571" s="57" t="s">
        <v>1911</v>
      </c>
      <c r="E571" s="57"/>
      <c r="F571" s="58">
        <v>400000.0</v>
      </c>
      <c r="G571" s="57" t="s">
        <v>251</v>
      </c>
      <c r="H571" s="59" t="s">
        <v>594</v>
      </c>
      <c r="I571" s="60" t="s">
        <v>272</v>
      </c>
      <c r="J571" s="61" t="s">
        <v>1909</v>
      </c>
      <c r="K571" s="67">
        <v>28034.0</v>
      </c>
      <c r="L571" s="42"/>
      <c r="M571" s="42"/>
      <c r="N571" s="42"/>
      <c r="O571" s="42"/>
      <c r="P571" s="42"/>
      <c r="Q571" s="42"/>
      <c r="R571" s="42"/>
      <c r="S571" s="42"/>
      <c r="T571" s="42"/>
      <c r="U571" s="42"/>
      <c r="V571" s="42"/>
      <c r="W571" s="42"/>
      <c r="X571" s="42"/>
      <c r="Y571" s="42"/>
      <c r="Z571" s="42"/>
    </row>
    <row r="572" ht="30.75" customHeight="1">
      <c r="A572" s="52" t="s">
        <v>247</v>
      </c>
      <c r="B572" s="52" t="s">
        <v>132</v>
      </c>
      <c r="C572" s="52" t="s">
        <v>133</v>
      </c>
      <c r="D572" s="52" t="s">
        <v>134</v>
      </c>
      <c r="E572" s="52"/>
      <c r="F572" s="62"/>
      <c r="G572" s="52"/>
      <c r="H572" s="63"/>
      <c r="I572" s="63"/>
      <c r="J572" s="54"/>
      <c r="K572" s="54"/>
      <c r="L572" s="56"/>
      <c r="M572" s="56"/>
      <c r="N572" s="56"/>
      <c r="O572" s="56"/>
      <c r="P572" s="56"/>
      <c r="Q572" s="56"/>
      <c r="R572" s="56"/>
      <c r="S572" s="56"/>
      <c r="T572" s="56"/>
      <c r="U572" s="56"/>
      <c r="V572" s="56"/>
      <c r="W572" s="56"/>
      <c r="X572" s="56"/>
      <c r="Y572" s="56"/>
      <c r="Z572" s="56"/>
    </row>
    <row r="573" ht="57.0" customHeight="1">
      <c r="A573" s="57" t="s">
        <v>247</v>
      </c>
      <c r="B573" s="57" t="s">
        <v>132</v>
      </c>
      <c r="C573" s="57" t="s">
        <v>1912</v>
      </c>
      <c r="D573" s="57" t="s">
        <v>1913</v>
      </c>
      <c r="E573" s="57" t="s">
        <v>1914</v>
      </c>
      <c r="F573" s="58">
        <v>550000.0</v>
      </c>
      <c r="G573" s="57" t="s">
        <v>664</v>
      </c>
      <c r="H573" s="59" t="s">
        <v>952</v>
      </c>
      <c r="I573" s="59" t="s">
        <v>953</v>
      </c>
      <c r="J573" s="61"/>
      <c r="K573" s="61"/>
      <c r="L573" s="42"/>
      <c r="M573" s="42"/>
      <c r="N573" s="42"/>
      <c r="O573" s="42"/>
      <c r="P573" s="42"/>
      <c r="Q573" s="42"/>
      <c r="R573" s="42"/>
      <c r="S573" s="42"/>
      <c r="T573" s="42"/>
      <c r="U573" s="42"/>
      <c r="V573" s="42"/>
      <c r="W573" s="42"/>
      <c r="X573" s="42"/>
      <c r="Y573" s="42"/>
      <c r="Z573" s="42"/>
    </row>
    <row r="574" ht="30.75" customHeight="1">
      <c r="A574" s="57" t="s">
        <v>247</v>
      </c>
      <c r="B574" s="57" t="s">
        <v>132</v>
      </c>
      <c r="C574" s="57" t="s">
        <v>1915</v>
      </c>
      <c r="D574" s="57" t="s">
        <v>1916</v>
      </c>
      <c r="E574" s="57" t="s">
        <v>1917</v>
      </c>
      <c r="F574" s="58">
        <v>250000.0</v>
      </c>
      <c r="G574" s="57" t="s">
        <v>251</v>
      </c>
      <c r="H574" s="59" t="s">
        <v>252</v>
      </c>
      <c r="I574" s="60" t="s">
        <v>253</v>
      </c>
      <c r="J574" s="61"/>
      <c r="K574" s="61"/>
      <c r="L574" s="42"/>
      <c r="M574" s="42"/>
      <c r="N574" s="42"/>
      <c r="O574" s="42"/>
      <c r="P574" s="42"/>
      <c r="Q574" s="42"/>
      <c r="R574" s="42"/>
      <c r="S574" s="42"/>
      <c r="T574" s="42"/>
      <c r="U574" s="42"/>
      <c r="V574" s="42"/>
      <c r="W574" s="42"/>
      <c r="X574" s="42"/>
      <c r="Y574" s="42"/>
      <c r="Z574" s="42"/>
    </row>
    <row r="575" ht="30.75" customHeight="1">
      <c r="A575" s="57" t="s">
        <v>247</v>
      </c>
      <c r="B575" s="57" t="s">
        <v>132</v>
      </c>
      <c r="C575" s="57" t="s">
        <v>1918</v>
      </c>
      <c r="D575" s="57" t="s">
        <v>1919</v>
      </c>
      <c r="E575" s="57" t="s">
        <v>1920</v>
      </c>
      <c r="F575" s="58">
        <v>100000.0</v>
      </c>
      <c r="G575" s="57" t="s">
        <v>251</v>
      </c>
      <c r="H575" s="59" t="s">
        <v>252</v>
      </c>
      <c r="I575" s="60" t="s">
        <v>472</v>
      </c>
      <c r="J575" s="61"/>
      <c r="K575" s="61"/>
      <c r="L575" s="42"/>
      <c r="M575" s="42"/>
      <c r="N575" s="42"/>
      <c r="O575" s="42"/>
      <c r="P575" s="42"/>
      <c r="Q575" s="42"/>
      <c r="R575" s="42"/>
      <c r="S575" s="42"/>
      <c r="T575" s="42"/>
      <c r="U575" s="42"/>
      <c r="V575" s="42"/>
      <c r="W575" s="42"/>
      <c r="X575" s="42"/>
      <c r="Y575" s="42"/>
      <c r="Z575" s="42"/>
    </row>
    <row r="576" ht="30.75" customHeight="1">
      <c r="A576" s="57" t="s">
        <v>247</v>
      </c>
      <c r="B576" s="57" t="s">
        <v>132</v>
      </c>
      <c r="C576" s="57" t="s">
        <v>1921</v>
      </c>
      <c r="D576" s="57" t="s">
        <v>1922</v>
      </c>
      <c r="E576" s="57" t="s">
        <v>1923</v>
      </c>
      <c r="F576" s="58">
        <v>700000.0</v>
      </c>
      <c r="G576" s="57" t="s">
        <v>251</v>
      </c>
      <c r="H576" s="59" t="s">
        <v>252</v>
      </c>
      <c r="I576" s="60" t="s">
        <v>253</v>
      </c>
      <c r="J576" s="61"/>
      <c r="K576" s="61"/>
      <c r="L576" s="42"/>
      <c r="M576" s="42"/>
      <c r="N576" s="42"/>
      <c r="O576" s="42"/>
      <c r="P576" s="42"/>
      <c r="Q576" s="42"/>
      <c r="R576" s="42"/>
      <c r="S576" s="42"/>
      <c r="T576" s="42"/>
      <c r="U576" s="42"/>
      <c r="V576" s="42"/>
      <c r="W576" s="42"/>
      <c r="X576" s="42"/>
      <c r="Y576" s="42"/>
      <c r="Z576" s="42"/>
    </row>
    <row r="577" ht="57.0" customHeight="1">
      <c r="A577" s="57" t="s">
        <v>247</v>
      </c>
      <c r="B577" s="57" t="s">
        <v>132</v>
      </c>
      <c r="C577" s="57" t="s">
        <v>1924</v>
      </c>
      <c r="D577" s="57" t="s">
        <v>1925</v>
      </c>
      <c r="E577" s="57" t="s">
        <v>1926</v>
      </c>
      <c r="F577" s="58">
        <v>1500000.0</v>
      </c>
      <c r="G577" s="57" t="s">
        <v>251</v>
      </c>
      <c r="H577" s="59" t="s">
        <v>252</v>
      </c>
      <c r="I577" s="60" t="s">
        <v>253</v>
      </c>
      <c r="J577" s="61"/>
      <c r="K577" s="61"/>
      <c r="L577" s="42"/>
      <c r="M577" s="42"/>
      <c r="N577" s="42"/>
      <c r="O577" s="42"/>
      <c r="P577" s="42"/>
      <c r="Q577" s="42"/>
      <c r="R577" s="42"/>
      <c r="S577" s="42"/>
      <c r="T577" s="42"/>
      <c r="U577" s="42"/>
      <c r="V577" s="42"/>
      <c r="W577" s="42"/>
      <c r="X577" s="42"/>
      <c r="Y577" s="42"/>
      <c r="Z577" s="42"/>
    </row>
    <row r="578" ht="30.75" customHeight="1">
      <c r="A578" s="57" t="s">
        <v>247</v>
      </c>
      <c r="B578" s="57" t="s">
        <v>132</v>
      </c>
      <c r="C578" s="57" t="s">
        <v>1927</v>
      </c>
      <c r="D578" s="57" t="s">
        <v>1928</v>
      </c>
      <c r="E578" s="57" t="s">
        <v>1929</v>
      </c>
      <c r="F578" s="58">
        <v>70000.0</v>
      </c>
      <c r="G578" s="57" t="s">
        <v>251</v>
      </c>
      <c r="H578" s="59" t="s">
        <v>252</v>
      </c>
      <c r="I578" s="60" t="s">
        <v>253</v>
      </c>
      <c r="J578" s="61"/>
      <c r="K578" s="61"/>
      <c r="L578" s="42"/>
      <c r="M578" s="42"/>
      <c r="N578" s="42"/>
      <c r="O578" s="42"/>
      <c r="P578" s="42"/>
      <c r="Q578" s="42"/>
      <c r="R578" s="42"/>
      <c r="S578" s="42"/>
      <c r="T578" s="42"/>
      <c r="U578" s="42"/>
      <c r="V578" s="42"/>
      <c r="W578" s="42"/>
      <c r="X578" s="42"/>
      <c r="Y578" s="42"/>
      <c r="Z578" s="42"/>
    </row>
    <row r="579" ht="57.0" customHeight="1">
      <c r="A579" s="57" t="s">
        <v>247</v>
      </c>
      <c r="B579" s="57" t="s">
        <v>132</v>
      </c>
      <c r="C579" s="57" t="s">
        <v>1930</v>
      </c>
      <c r="D579" s="57" t="s">
        <v>1931</v>
      </c>
      <c r="E579" s="57" t="s">
        <v>1932</v>
      </c>
      <c r="F579" s="58">
        <v>130000.0</v>
      </c>
      <c r="G579" s="57" t="s">
        <v>251</v>
      </c>
      <c r="H579" s="59" t="s">
        <v>252</v>
      </c>
      <c r="I579" s="60" t="s">
        <v>253</v>
      </c>
      <c r="J579" s="61"/>
      <c r="K579" s="61"/>
      <c r="L579" s="42"/>
      <c r="M579" s="42"/>
      <c r="N579" s="42"/>
      <c r="O579" s="42"/>
      <c r="P579" s="42"/>
      <c r="Q579" s="42"/>
      <c r="R579" s="42"/>
      <c r="S579" s="42"/>
      <c r="T579" s="42"/>
      <c r="U579" s="42"/>
      <c r="V579" s="42"/>
      <c r="W579" s="42"/>
      <c r="X579" s="42"/>
      <c r="Y579" s="42"/>
      <c r="Z579" s="42"/>
    </row>
    <row r="580" ht="30.75" customHeight="1">
      <c r="A580" s="57" t="s">
        <v>247</v>
      </c>
      <c r="B580" s="57" t="s">
        <v>132</v>
      </c>
      <c r="C580" s="57" t="s">
        <v>1933</v>
      </c>
      <c r="D580" s="57" t="s">
        <v>1934</v>
      </c>
      <c r="E580" s="57" t="s">
        <v>1935</v>
      </c>
      <c r="F580" s="58">
        <v>100000.0</v>
      </c>
      <c r="G580" s="57" t="s">
        <v>251</v>
      </c>
      <c r="H580" s="59" t="s">
        <v>252</v>
      </c>
      <c r="I580" s="60" t="s">
        <v>253</v>
      </c>
      <c r="J580" s="61"/>
      <c r="K580" s="61"/>
      <c r="L580" s="42"/>
      <c r="M580" s="42"/>
      <c r="N580" s="42"/>
      <c r="O580" s="42"/>
      <c r="P580" s="42"/>
      <c r="Q580" s="42"/>
      <c r="R580" s="42"/>
      <c r="S580" s="42"/>
      <c r="T580" s="42"/>
      <c r="U580" s="42"/>
      <c r="V580" s="42"/>
      <c r="W580" s="42"/>
      <c r="X580" s="42"/>
      <c r="Y580" s="42"/>
      <c r="Z580" s="42"/>
    </row>
    <row r="581" ht="30.75" customHeight="1">
      <c r="A581" s="57" t="s">
        <v>247</v>
      </c>
      <c r="B581" s="57" t="s">
        <v>132</v>
      </c>
      <c r="C581" s="57" t="s">
        <v>1936</v>
      </c>
      <c r="D581" s="57" t="s">
        <v>1937</v>
      </c>
      <c r="E581" s="57" t="s">
        <v>1938</v>
      </c>
      <c r="F581" s="58">
        <v>160000.0</v>
      </c>
      <c r="G581" s="57" t="s">
        <v>251</v>
      </c>
      <c r="H581" s="59" t="s">
        <v>252</v>
      </c>
      <c r="I581" s="60" t="s">
        <v>253</v>
      </c>
      <c r="J581" s="61"/>
      <c r="K581" s="61"/>
      <c r="L581" s="42"/>
      <c r="M581" s="42"/>
      <c r="N581" s="42"/>
      <c r="O581" s="42"/>
      <c r="P581" s="42"/>
      <c r="Q581" s="42"/>
      <c r="R581" s="42"/>
      <c r="S581" s="42"/>
      <c r="T581" s="42"/>
      <c r="U581" s="42"/>
      <c r="V581" s="42"/>
      <c r="W581" s="42"/>
      <c r="X581" s="42"/>
      <c r="Y581" s="42"/>
      <c r="Z581" s="42"/>
    </row>
    <row r="582" ht="30.75" customHeight="1">
      <c r="A582" s="57" t="s">
        <v>247</v>
      </c>
      <c r="B582" s="57" t="s">
        <v>132</v>
      </c>
      <c r="C582" s="57" t="s">
        <v>1939</v>
      </c>
      <c r="D582" s="57" t="s">
        <v>1940</v>
      </c>
      <c r="E582" s="57" t="s">
        <v>1941</v>
      </c>
      <c r="F582" s="58">
        <v>250000.0</v>
      </c>
      <c r="G582" s="57" t="s">
        <v>251</v>
      </c>
      <c r="H582" s="59" t="s">
        <v>252</v>
      </c>
      <c r="I582" s="60" t="s">
        <v>253</v>
      </c>
      <c r="J582" s="61"/>
      <c r="K582" s="61"/>
      <c r="L582" s="42"/>
      <c r="M582" s="42"/>
      <c r="N582" s="42"/>
      <c r="O582" s="42"/>
      <c r="P582" s="42"/>
      <c r="Q582" s="42"/>
      <c r="R582" s="42"/>
      <c r="S582" s="42"/>
      <c r="T582" s="42"/>
      <c r="U582" s="42"/>
      <c r="V582" s="42"/>
      <c r="W582" s="42"/>
      <c r="X582" s="42"/>
      <c r="Y582" s="42"/>
      <c r="Z582" s="42"/>
    </row>
    <row r="583" ht="30.75" customHeight="1">
      <c r="A583" s="57" t="s">
        <v>247</v>
      </c>
      <c r="B583" s="57" t="s">
        <v>132</v>
      </c>
      <c r="C583" s="57" t="s">
        <v>1942</v>
      </c>
      <c r="D583" s="57" t="s">
        <v>1943</v>
      </c>
      <c r="E583" s="57" t="s">
        <v>1944</v>
      </c>
      <c r="F583" s="58">
        <v>400000.0</v>
      </c>
      <c r="G583" s="57" t="s">
        <v>467</v>
      </c>
      <c r="H583" s="59" t="s">
        <v>252</v>
      </c>
      <c r="I583" s="60" t="s">
        <v>253</v>
      </c>
      <c r="J583" s="61"/>
      <c r="K583" s="61"/>
      <c r="L583" s="42"/>
      <c r="M583" s="42"/>
      <c r="N583" s="42"/>
      <c r="O583" s="42"/>
      <c r="P583" s="42"/>
      <c r="Q583" s="42"/>
      <c r="R583" s="42"/>
      <c r="S583" s="42"/>
      <c r="T583" s="42"/>
      <c r="U583" s="42"/>
      <c r="V583" s="42"/>
      <c r="W583" s="42"/>
      <c r="X583" s="42"/>
      <c r="Y583" s="42"/>
      <c r="Z583" s="42"/>
    </row>
    <row r="584" ht="30.75" customHeight="1">
      <c r="A584" s="57" t="s">
        <v>247</v>
      </c>
      <c r="B584" s="57" t="s">
        <v>132</v>
      </c>
      <c r="C584" s="57" t="s">
        <v>1945</v>
      </c>
      <c r="D584" s="57" t="s">
        <v>1946</v>
      </c>
      <c r="E584" s="57" t="s">
        <v>1947</v>
      </c>
      <c r="F584" s="58">
        <v>600000.0</v>
      </c>
      <c r="G584" s="57" t="s">
        <v>251</v>
      </c>
      <c r="H584" s="59" t="s">
        <v>252</v>
      </c>
      <c r="I584" s="60" t="s">
        <v>472</v>
      </c>
      <c r="J584" s="61"/>
      <c r="K584" s="61"/>
      <c r="L584" s="42"/>
      <c r="M584" s="42"/>
      <c r="N584" s="42"/>
      <c r="O584" s="42"/>
      <c r="P584" s="42"/>
      <c r="Q584" s="42"/>
      <c r="R584" s="42"/>
      <c r="S584" s="42"/>
      <c r="T584" s="42"/>
      <c r="U584" s="42"/>
      <c r="V584" s="42"/>
      <c r="W584" s="42"/>
      <c r="X584" s="42"/>
      <c r="Y584" s="42"/>
      <c r="Z584" s="42"/>
    </row>
    <row r="585" ht="57.0" customHeight="1">
      <c r="A585" s="57" t="s">
        <v>247</v>
      </c>
      <c r="B585" s="57" t="s">
        <v>132</v>
      </c>
      <c r="C585" s="57" t="s">
        <v>1948</v>
      </c>
      <c r="D585" s="57" t="s">
        <v>1949</v>
      </c>
      <c r="E585" s="57" t="s">
        <v>1950</v>
      </c>
      <c r="F585" s="58">
        <v>1200000.0</v>
      </c>
      <c r="G585" s="57" t="s">
        <v>251</v>
      </c>
      <c r="H585" s="59" t="s">
        <v>252</v>
      </c>
      <c r="I585" s="59" t="s">
        <v>472</v>
      </c>
      <c r="J585" s="61"/>
      <c r="K585" s="61"/>
      <c r="L585" s="42"/>
      <c r="M585" s="42"/>
      <c r="N585" s="42"/>
      <c r="O585" s="42"/>
      <c r="P585" s="42"/>
      <c r="Q585" s="42"/>
      <c r="R585" s="42"/>
      <c r="S585" s="42"/>
      <c r="T585" s="42"/>
      <c r="U585" s="42"/>
      <c r="V585" s="42"/>
      <c r="W585" s="42"/>
      <c r="X585" s="42"/>
      <c r="Y585" s="42"/>
      <c r="Z585" s="42"/>
    </row>
    <row r="586" ht="30.75" customHeight="1">
      <c r="A586" s="57" t="s">
        <v>247</v>
      </c>
      <c r="B586" s="57" t="s">
        <v>132</v>
      </c>
      <c r="C586" s="57" t="s">
        <v>1951</v>
      </c>
      <c r="D586" s="57" t="s">
        <v>1952</v>
      </c>
      <c r="E586" s="57" t="s">
        <v>1953</v>
      </c>
      <c r="F586" s="58">
        <v>50000.0</v>
      </c>
      <c r="G586" s="57" t="s">
        <v>251</v>
      </c>
      <c r="H586" s="59" t="s">
        <v>252</v>
      </c>
      <c r="I586" s="59" t="s">
        <v>472</v>
      </c>
      <c r="J586" s="61"/>
      <c r="K586" s="61"/>
      <c r="L586" s="42"/>
      <c r="M586" s="42"/>
      <c r="N586" s="42"/>
      <c r="O586" s="42"/>
      <c r="P586" s="42"/>
      <c r="Q586" s="42"/>
      <c r="R586" s="42"/>
      <c r="S586" s="42"/>
      <c r="T586" s="42"/>
      <c r="U586" s="42"/>
      <c r="V586" s="42"/>
      <c r="W586" s="42"/>
      <c r="X586" s="42"/>
      <c r="Y586" s="42"/>
      <c r="Z586" s="42"/>
    </row>
    <row r="587" ht="30.75" customHeight="1">
      <c r="A587" s="57" t="s">
        <v>247</v>
      </c>
      <c r="B587" s="57" t="s">
        <v>132</v>
      </c>
      <c r="C587" s="57" t="s">
        <v>1954</v>
      </c>
      <c r="D587" s="57" t="s">
        <v>1955</v>
      </c>
      <c r="E587" s="57" t="s">
        <v>1956</v>
      </c>
      <c r="F587" s="58">
        <v>350000.0</v>
      </c>
      <c r="G587" s="57" t="s">
        <v>251</v>
      </c>
      <c r="H587" s="59" t="s">
        <v>252</v>
      </c>
      <c r="I587" s="59" t="s">
        <v>272</v>
      </c>
      <c r="J587" s="61"/>
      <c r="K587" s="61"/>
      <c r="L587" s="42"/>
      <c r="M587" s="42"/>
      <c r="N587" s="42"/>
      <c r="O587" s="42"/>
      <c r="P587" s="42"/>
      <c r="Q587" s="42"/>
      <c r="R587" s="42"/>
      <c r="S587" s="42"/>
      <c r="T587" s="42"/>
      <c r="U587" s="42"/>
      <c r="V587" s="42"/>
      <c r="W587" s="42"/>
      <c r="X587" s="42"/>
      <c r="Y587" s="42"/>
      <c r="Z587" s="42"/>
    </row>
    <row r="588" ht="30.75" customHeight="1">
      <c r="A588" s="57" t="s">
        <v>247</v>
      </c>
      <c r="B588" s="57" t="s">
        <v>132</v>
      </c>
      <c r="C588" s="57" t="s">
        <v>1957</v>
      </c>
      <c r="D588" s="57" t="s">
        <v>1958</v>
      </c>
      <c r="E588" s="57" t="s">
        <v>1959</v>
      </c>
      <c r="F588" s="58">
        <v>650000.0</v>
      </c>
      <c r="G588" s="57" t="s">
        <v>251</v>
      </c>
      <c r="H588" s="59" t="s">
        <v>252</v>
      </c>
      <c r="I588" s="59" t="s">
        <v>272</v>
      </c>
      <c r="J588" s="61"/>
      <c r="K588" s="61"/>
      <c r="L588" s="42"/>
      <c r="M588" s="42"/>
      <c r="N588" s="42"/>
      <c r="O588" s="42"/>
      <c r="P588" s="42"/>
      <c r="Q588" s="42"/>
      <c r="R588" s="42"/>
      <c r="S588" s="42"/>
      <c r="T588" s="42"/>
      <c r="U588" s="42"/>
      <c r="V588" s="42"/>
      <c r="W588" s="42"/>
      <c r="X588" s="42"/>
      <c r="Y588" s="42"/>
      <c r="Z588" s="42"/>
    </row>
    <row r="589" ht="30.75" customHeight="1">
      <c r="A589" s="52" t="s">
        <v>247</v>
      </c>
      <c r="B589" s="52" t="s">
        <v>135</v>
      </c>
      <c r="C589" s="52" t="s">
        <v>136</v>
      </c>
      <c r="D589" s="52" t="s">
        <v>137</v>
      </c>
      <c r="E589" s="52"/>
      <c r="F589" s="62"/>
      <c r="G589" s="52"/>
      <c r="H589" s="63"/>
      <c r="I589" s="63"/>
      <c r="J589" s="54"/>
      <c r="K589" s="54"/>
      <c r="L589" s="56"/>
      <c r="M589" s="56"/>
      <c r="N589" s="56"/>
      <c r="O589" s="56"/>
      <c r="P589" s="56"/>
      <c r="Q589" s="56"/>
      <c r="R589" s="56"/>
      <c r="S589" s="56"/>
      <c r="T589" s="56"/>
      <c r="U589" s="56"/>
      <c r="V589" s="56"/>
      <c r="W589" s="56"/>
      <c r="X589" s="56"/>
      <c r="Y589" s="56"/>
      <c r="Z589" s="56"/>
    </row>
    <row r="590" ht="30.75" customHeight="1">
      <c r="A590" s="57" t="s">
        <v>247</v>
      </c>
      <c r="B590" s="57" t="s">
        <v>135</v>
      </c>
      <c r="C590" s="57" t="s">
        <v>1960</v>
      </c>
      <c r="D590" s="57" t="s">
        <v>1961</v>
      </c>
      <c r="E590" s="57" t="s">
        <v>1962</v>
      </c>
      <c r="F590" s="58">
        <v>50000.0</v>
      </c>
      <c r="G590" s="57" t="s">
        <v>251</v>
      </c>
      <c r="H590" s="59" t="s">
        <v>252</v>
      </c>
      <c r="I590" s="60" t="s">
        <v>253</v>
      </c>
      <c r="J590" s="61"/>
      <c r="K590" s="61"/>
      <c r="L590" s="42"/>
      <c r="M590" s="42"/>
      <c r="N590" s="42"/>
      <c r="O590" s="42"/>
      <c r="P590" s="42"/>
      <c r="Q590" s="42"/>
      <c r="R590" s="42"/>
      <c r="S590" s="42"/>
      <c r="T590" s="42"/>
      <c r="U590" s="42"/>
      <c r="V590" s="42"/>
      <c r="W590" s="42"/>
      <c r="X590" s="42"/>
      <c r="Y590" s="42"/>
      <c r="Z590" s="42"/>
    </row>
    <row r="591" ht="30.75" customHeight="1">
      <c r="A591" s="57" t="s">
        <v>247</v>
      </c>
      <c r="B591" s="57" t="s">
        <v>135</v>
      </c>
      <c r="C591" s="57" t="s">
        <v>1963</v>
      </c>
      <c r="D591" s="57" t="s">
        <v>1964</v>
      </c>
      <c r="E591" s="57" t="s">
        <v>1965</v>
      </c>
      <c r="F591" s="58">
        <v>80000.0</v>
      </c>
      <c r="G591" s="57" t="s">
        <v>251</v>
      </c>
      <c r="H591" s="59" t="s">
        <v>252</v>
      </c>
      <c r="I591" s="60" t="s">
        <v>253</v>
      </c>
      <c r="J591" s="61"/>
      <c r="K591" s="61"/>
      <c r="L591" s="42"/>
      <c r="M591" s="42"/>
      <c r="N591" s="42"/>
      <c r="O591" s="42"/>
      <c r="P591" s="42"/>
      <c r="Q591" s="42"/>
      <c r="R591" s="42"/>
      <c r="S591" s="42"/>
      <c r="T591" s="42"/>
      <c r="U591" s="42"/>
      <c r="V591" s="42"/>
      <c r="W591" s="42"/>
      <c r="X591" s="42"/>
      <c r="Y591" s="42"/>
      <c r="Z591" s="42"/>
    </row>
    <row r="592" ht="57.0" customHeight="1">
      <c r="A592" s="57" t="s">
        <v>247</v>
      </c>
      <c r="B592" s="57" t="s">
        <v>135</v>
      </c>
      <c r="C592" s="57" t="s">
        <v>1966</v>
      </c>
      <c r="D592" s="57" t="s">
        <v>1967</v>
      </c>
      <c r="E592" s="57" t="s">
        <v>1968</v>
      </c>
      <c r="F592" s="58">
        <v>90000.0</v>
      </c>
      <c r="G592" s="57" t="s">
        <v>251</v>
      </c>
      <c r="H592" s="59" t="s">
        <v>252</v>
      </c>
      <c r="I592" s="60" t="s">
        <v>253</v>
      </c>
      <c r="J592" s="61"/>
      <c r="K592" s="61"/>
      <c r="L592" s="42"/>
      <c r="M592" s="42"/>
      <c r="N592" s="42"/>
      <c r="O592" s="42"/>
      <c r="P592" s="42"/>
      <c r="Q592" s="42"/>
      <c r="R592" s="42"/>
      <c r="S592" s="42"/>
      <c r="T592" s="42"/>
      <c r="U592" s="42"/>
      <c r="V592" s="42"/>
      <c r="W592" s="42"/>
      <c r="X592" s="42"/>
      <c r="Y592" s="42"/>
      <c r="Z592" s="42"/>
    </row>
    <row r="593" ht="30.75" customHeight="1">
      <c r="A593" s="57" t="s">
        <v>247</v>
      </c>
      <c r="B593" s="57" t="s">
        <v>135</v>
      </c>
      <c r="C593" s="57" t="s">
        <v>1969</v>
      </c>
      <c r="D593" s="57" t="s">
        <v>1970</v>
      </c>
      <c r="E593" s="57" t="s">
        <v>1971</v>
      </c>
      <c r="F593" s="58">
        <v>100000.0</v>
      </c>
      <c r="G593" s="57" t="s">
        <v>467</v>
      </c>
      <c r="H593" s="59" t="s">
        <v>252</v>
      </c>
      <c r="I593" s="60" t="s">
        <v>253</v>
      </c>
      <c r="J593" s="61"/>
      <c r="K593" s="61"/>
      <c r="L593" s="42"/>
      <c r="M593" s="42"/>
      <c r="N593" s="42"/>
      <c r="O593" s="42"/>
      <c r="P593" s="42"/>
      <c r="Q593" s="42"/>
      <c r="R593" s="42"/>
      <c r="S593" s="42"/>
      <c r="T593" s="42"/>
      <c r="U593" s="42"/>
      <c r="V593" s="42"/>
      <c r="W593" s="42"/>
      <c r="X593" s="42"/>
      <c r="Y593" s="42"/>
      <c r="Z593" s="42"/>
    </row>
    <row r="594" ht="57.0" customHeight="1">
      <c r="A594" s="57" t="s">
        <v>247</v>
      </c>
      <c r="B594" s="57" t="s">
        <v>135</v>
      </c>
      <c r="C594" s="57" t="s">
        <v>1972</v>
      </c>
      <c r="D594" s="57" t="s">
        <v>1973</v>
      </c>
      <c r="E594" s="57" t="s">
        <v>1974</v>
      </c>
      <c r="F594" s="58">
        <v>190000.0</v>
      </c>
      <c r="G594" s="57" t="s">
        <v>251</v>
      </c>
      <c r="H594" s="59" t="s">
        <v>252</v>
      </c>
      <c r="I594" s="60" t="s">
        <v>253</v>
      </c>
      <c r="J594" s="61"/>
      <c r="K594" s="61"/>
      <c r="L594" s="42"/>
      <c r="M594" s="42"/>
      <c r="N594" s="42"/>
      <c r="O594" s="42"/>
      <c r="P594" s="42"/>
      <c r="Q594" s="42"/>
      <c r="R594" s="42"/>
      <c r="S594" s="42"/>
      <c r="T594" s="42"/>
      <c r="U594" s="42"/>
      <c r="V594" s="42"/>
      <c r="W594" s="42"/>
      <c r="X594" s="42"/>
      <c r="Y594" s="42"/>
      <c r="Z594" s="42"/>
    </row>
    <row r="595" ht="30.75" customHeight="1">
      <c r="A595" s="57" t="s">
        <v>247</v>
      </c>
      <c r="B595" s="57" t="s">
        <v>135</v>
      </c>
      <c r="C595" s="57" t="s">
        <v>1975</v>
      </c>
      <c r="D595" s="57" t="s">
        <v>1976</v>
      </c>
      <c r="E595" s="57" t="s">
        <v>1977</v>
      </c>
      <c r="F595" s="58">
        <v>250000.0</v>
      </c>
      <c r="G595" s="57" t="s">
        <v>251</v>
      </c>
      <c r="H595" s="59" t="s">
        <v>252</v>
      </c>
      <c r="I595" s="60" t="s">
        <v>253</v>
      </c>
      <c r="J595" s="61"/>
      <c r="K595" s="61"/>
      <c r="L595" s="42"/>
      <c r="M595" s="42"/>
      <c r="N595" s="42"/>
      <c r="O595" s="42"/>
      <c r="P595" s="42"/>
      <c r="Q595" s="42"/>
      <c r="R595" s="42"/>
      <c r="S595" s="42"/>
      <c r="T595" s="42"/>
      <c r="U595" s="42"/>
      <c r="V595" s="42"/>
      <c r="W595" s="42"/>
      <c r="X595" s="42"/>
      <c r="Y595" s="42"/>
      <c r="Z595" s="42"/>
    </row>
    <row r="596" ht="30.75" customHeight="1">
      <c r="A596" s="57" t="s">
        <v>247</v>
      </c>
      <c r="B596" s="57" t="s">
        <v>135</v>
      </c>
      <c r="C596" s="57" t="s">
        <v>1978</v>
      </c>
      <c r="D596" s="57" t="s">
        <v>1979</v>
      </c>
      <c r="E596" s="57" t="s">
        <v>1980</v>
      </c>
      <c r="F596" s="58">
        <v>300000.0</v>
      </c>
      <c r="G596" s="57" t="s">
        <v>467</v>
      </c>
      <c r="H596" s="59" t="s">
        <v>252</v>
      </c>
      <c r="I596" s="60" t="s">
        <v>253</v>
      </c>
      <c r="J596" s="61"/>
      <c r="K596" s="61"/>
      <c r="L596" s="42"/>
      <c r="M596" s="42"/>
      <c r="N596" s="42"/>
      <c r="O596" s="42"/>
      <c r="P596" s="42"/>
      <c r="Q596" s="42"/>
      <c r="R596" s="42"/>
      <c r="S596" s="42"/>
      <c r="T596" s="42"/>
      <c r="U596" s="42"/>
      <c r="V596" s="42"/>
      <c r="W596" s="42"/>
      <c r="X596" s="42"/>
      <c r="Y596" s="42"/>
      <c r="Z596" s="42"/>
    </row>
    <row r="597" ht="30.75" customHeight="1">
      <c r="A597" s="57" t="s">
        <v>247</v>
      </c>
      <c r="B597" s="57" t="s">
        <v>135</v>
      </c>
      <c r="C597" s="57" t="s">
        <v>1981</v>
      </c>
      <c r="D597" s="57" t="s">
        <v>1982</v>
      </c>
      <c r="E597" s="57" t="s">
        <v>1983</v>
      </c>
      <c r="F597" s="58">
        <v>400000.0</v>
      </c>
      <c r="G597" s="57" t="s">
        <v>251</v>
      </c>
      <c r="H597" s="59" t="s">
        <v>252</v>
      </c>
      <c r="I597" s="60" t="s">
        <v>253</v>
      </c>
      <c r="J597" s="61"/>
      <c r="K597" s="61"/>
      <c r="L597" s="42"/>
      <c r="M597" s="42"/>
      <c r="N597" s="42"/>
      <c r="O597" s="42"/>
      <c r="P597" s="42"/>
      <c r="Q597" s="42"/>
      <c r="R597" s="42"/>
      <c r="S597" s="42"/>
      <c r="T597" s="42"/>
      <c r="U597" s="42"/>
      <c r="V597" s="42"/>
      <c r="W597" s="42"/>
      <c r="X597" s="42"/>
      <c r="Y597" s="42"/>
      <c r="Z597" s="42"/>
    </row>
    <row r="598" ht="30.75" customHeight="1">
      <c r="A598" s="57" t="s">
        <v>247</v>
      </c>
      <c r="B598" s="57" t="s">
        <v>135</v>
      </c>
      <c r="C598" s="57" t="s">
        <v>1984</v>
      </c>
      <c r="D598" s="57" t="s">
        <v>1985</v>
      </c>
      <c r="E598" s="57" t="s">
        <v>1986</v>
      </c>
      <c r="F598" s="58">
        <v>400000.0</v>
      </c>
      <c r="G598" s="57" t="s">
        <v>467</v>
      </c>
      <c r="H598" s="59" t="s">
        <v>252</v>
      </c>
      <c r="I598" s="60" t="s">
        <v>253</v>
      </c>
      <c r="J598" s="61"/>
      <c r="K598" s="61"/>
      <c r="L598" s="42"/>
      <c r="M598" s="42"/>
      <c r="N598" s="42"/>
      <c r="O598" s="42"/>
      <c r="P598" s="42"/>
      <c r="Q598" s="42"/>
      <c r="R598" s="42"/>
      <c r="S598" s="42"/>
      <c r="T598" s="42"/>
      <c r="U598" s="42"/>
      <c r="V598" s="42"/>
      <c r="W598" s="42"/>
      <c r="X598" s="42"/>
      <c r="Y598" s="42"/>
      <c r="Z598" s="42"/>
    </row>
    <row r="599" ht="30.75" customHeight="1">
      <c r="A599" s="57" t="s">
        <v>247</v>
      </c>
      <c r="B599" s="57" t="s">
        <v>135</v>
      </c>
      <c r="C599" s="57" t="s">
        <v>1987</v>
      </c>
      <c r="D599" s="57" t="s">
        <v>1988</v>
      </c>
      <c r="E599" s="57" t="s">
        <v>1989</v>
      </c>
      <c r="F599" s="58">
        <v>400000.0</v>
      </c>
      <c r="G599" s="57" t="s">
        <v>467</v>
      </c>
      <c r="H599" s="59" t="s">
        <v>252</v>
      </c>
      <c r="I599" s="60" t="s">
        <v>253</v>
      </c>
      <c r="J599" s="61"/>
      <c r="K599" s="61"/>
      <c r="L599" s="42"/>
      <c r="M599" s="42"/>
      <c r="N599" s="42"/>
      <c r="O599" s="42"/>
      <c r="P599" s="42"/>
      <c r="Q599" s="42"/>
      <c r="R599" s="42"/>
      <c r="S599" s="42"/>
      <c r="T599" s="42"/>
      <c r="U599" s="42"/>
      <c r="V599" s="42"/>
      <c r="W599" s="42"/>
      <c r="X599" s="42"/>
      <c r="Y599" s="42"/>
      <c r="Z599" s="42"/>
    </row>
    <row r="600" ht="57.0" customHeight="1">
      <c r="A600" s="57" t="s">
        <v>247</v>
      </c>
      <c r="B600" s="57" t="s">
        <v>135</v>
      </c>
      <c r="C600" s="57" t="s">
        <v>1990</v>
      </c>
      <c r="D600" s="57" t="s">
        <v>1991</v>
      </c>
      <c r="E600" s="57" t="s">
        <v>1992</v>
      </c>
      <c r="F600" s="58">
        <v>500000.0</v>
      </c>
      <c r="G600" s="57" t="s">
        <v>467</v>
      </c>
      <c r="H600" s="59" t="s">
        <v>252</v>
      </c>
      <c r="I600" s="60" t="s">
        <v>253</v>
      </c>
      <c r="J600" s="61"/>
      <c r="K600" s="61"/>
      <c r="L600" s="42"/>
      <c r="M600" s="42"/>
      <c r="N600" s="42"/>
      <c r="O600" s="42"/>
      <c r="P600" s="42"/>
      <c r="Q600" s="42"/>
      <c r="R600" s="42"/>
      <c r="S600" s="42"/>
      <c r="T600" s="42"/>
      <c r="U600" s="42"/>
      <c r="V600" s="42"/>
      <c r="W600" s="42"/>
      <c r="X600" s="42"/>
      <c r="Y600" s="42"/>
      <c r="Z600" s="42"/>
    </row>
    <row r="601" ht="30.75" customHeight="1">
      <c r="A601" s="57" t="s">
        <v>247</v>
      </c>
      <c r="B601" s="57" t="s">
        <v>135</v>
      </c>
      <c r="C601" s="57" t="s">
        <v>1993</v>
      </c>
      <c r="D601" s="57" t="s">
        <v>1994</v>
      </c>
      <c r="E601" s="57" t="s">
        <v>1995</v>
      </c>
      <c r="F601" s="58">
        <v>500000.0</v>
      </c>
      <c r="G601" s="57" t="s">
        <v>467</v>
      </c>
      <c r="H601" s="59" t="s">
        <v>252</v>
      </c>
      <c r="I601" s="60" t="s">
        <v>253</v>
      </c>
      <c r="J601" s="61"/>
      <c r="K601" s="61"/>
      <c r="L601" s="42"/>
      <c r="M601" s="42"/>
      <c r="N601" s="42"/>
      <c r="O601" s="42"/>
      <c r="P601" s="42"/>
      <c r="Q601" s="42"/>
      <c r="R601" s="42"/>
      <c r="S601" s="42"/>
      <c r="T601" s="42"/>
      <c r="U601" s="42"/>
      <c r="V601" s="42"/>
      <c r="W601" s="42"/>
      <c r="X601" s="42"/>
      <c r="Y601" s="42"/>
      <c r="Z601" s="42"/>
    </row>
    <row r="602" ht="30.75" customHeight="1">
      <c r="A602" s="57" t="s">
        <v>247</v>
      </c>
      <c r="B602" s="57" t="s">
        <v>135</v>
      </c>
      <c r="C602" s="57" t="s">
        <v>1996</v>
      </c>
      <c r="D602" s="57" t="s">
        <v>1997</v>
      </c>
      <c r="E602" s="57" t="s">
        <v>1998</v>
      </c>
      <c r="F602" s="58">
        <v>500000.0</v>
      </c>
      <c r="G602" s="57" t="s">
        <v>467</v>
      </c>
      <c r="H602" s="59" t="s">
        <v>252</v>
      </c>
      <c r="I602" s="60" t="s">
        <v>253</v>
      </c>
      <c r="J602" s="61"/>
      <c r="K602" s="61"/>
      <c r="L602" s="42"/>
      <c r="M602" s="42"/>
      <c r="N602" s="42"/>
      <c r="O602" s="42"/>
      <c r="P602" s="42"/>
      <c r="Q602" s="42"/>
      <c r="R602" s="42"/>
      <c r="S602" s="42"/>
      <c r="T602" s="42"/>
      <c r="U602" s="42"/>
      <c r="V602" s="42"/>
      <c r="W602" s="42"/>
      <c r="X602" s="42"/>
      <c r="Y602" s="42"/>
      <c r="Z602" s="42"/>
    </row>
    <row r="603" ht="30.75" customHeight="1">
      <c r="A603" s="57" t="s">
        <v>247</v>
      </c>
      <c r="B603" s="57" t="s">
        <v>135</v>
      </c>
      <c r="C603" s="57" t="s">
        <v>1999</v>
      </c>
      <c r="D603" s="57" t="s">
        <v>2000</v>
      </c>
      <c r="E603" s="57" t="s">
        <v>2001</v>
      </c>
      <c r="F603" s="58">
        <v>600000.0</v>
      </c>
      <c r="G603" s="57" t="s">
        <v>467</v>
      </c>
      <c r="H603" s="59" t="s">
        <v>252</v>
      </c>
      <c r="I603" s="60" t="s">
        <v>253</v>
      </c>
      <c r="J603" s="61"/>
      <c r="K603" s="61"/>
      <c r="L603" s="42"/>
      <c r="M603" s="42"/>
      <c r="N603" s="42"/>
      <c r="O603" s="42"/>
      <c r="P603" s="42"/>
      <c r="Q603" s="42"/>
      <c r="R603" s="42"/>
      <c r="S603" s="42"/>
      <c r="T603" s="42"/>
      <c r="U603" s="42"/>
      <c r="V603" s="42"/>
      <c r="W603" s="42"/>
      <c r="X603" s="42"/>
      <c r="Y603" s="42"/>
      <c r="Z603" s="42"/>
    </row>
    <row r="604" ht="30.75" customHeight="1">
      <c r="A604" s="57" t="s">
        <v>247</v>
      </c>
      <c r="B604" s="57" t="s">
        <v>135</v>
      </c>
      <c r="C604" s="57" t="s">
        <v>2002</v>
      </c>
      <c r="D604" s="57" t="s">
        <v>2003</v>
      </c>
      <c r="E604" s="57" t="s">
        <v>2004</v>
      </c>
      <c r="F604" s="58">
        <v>600000.0</v>
      </c>
      <c r="G604" s="57" t="s">
        <v>467</v>
      </c>
      <c r="H604" s="59" t="s">
        <v>252</v>
      </c>
      <c r="I604" s="60" t="s">
        <v>253</v>
      </c>
      <c r="J604" s="61"/>
      <c r="K604" s="61"/>
      <c r="L604" s="42"/>
      <c r="M604" s="42"/>
      <c r="N604" s="42"/>
      <c r="O604" s="42"/>
      <c r="P604" s="42"/>
      <c r="Q604" s="42"/>
      <c r="R604" s="42"/>
      <c r="S604" s="42"/>
      <c r="T604" s="42"/>
      <c r="U604" s="42"/>
      <c r="V604" s="42"/>
      <c r="W604" s="42"/>
      <c r="X604" s="42"/>
      <c r="Y604" s="42"/>
      <c r="Z604" s="42"/>
    </row>
    <row r="605" ht="30.75" customHeight="1">
      <c r="A605" s="57" t="s">
        <v>247</v>
      </c>
      <c r="B605" s="57" t="s">
        <v>135</v>
      </c>
      <c r="C605" s="57" t="s">
        <v>2005</v>
      </c>
      <c r="D605" s="57" t="s">
        <v>2006</v>
      </c>
      <c r="E605" s="57" t="s">
        <v>2007</v>
      </c>
      <c r="F605" s="58">
        <v>800000.0</v>
      </c>
      <c r="G605" s="57" t="s">
        <v>467</v>
      </c>
      <c r="H605" s="59" t="s">
        <v>252</v>
      </c>
      <c r="I605" s="60" t="s">
        <v>253</v>
      </c>
      <c r="J605" s="61"/>
      <c r="K605" s="61"/>
      <c r="L605" s="42"/>
      <c r="M605" s="42"/>
      <c r="N605" s="42"/>
      <c r="O605" s="42"/>
      <c r="P605" s="42"/>
      <c r="Q605" s="42"/>
      <c r="R605" s="42"/>
      <c r="S605" s="42"/>
      <c r="T605" s="42"/>
      <c r="U605" s="42"/>
      <c r="V605" s="42"/>
      <c r="W605" s="42"/>
      <c r="X605" s="42"/>
      <c r="Y605" s="42"/>
      <c r="Z605" s="42"/>
    </row>
    <row r="606" ht="57.0" customHeight="1">
      <c r="A606" s="57" t="s">
        <v>247</v>
      </c>
      <c r="B606" s="57" t="s">
        <v>135</v>
      </c>
      <c r="C606" s="57" t="s">
        <v>2008</v>
      </c>
      <c r="D606" s="57" t="s">
        <v>2009</v>
      </c>
      <c r="E606" s="57" t="s">
        <v>2010</v>
      </c>
      <c r="F606" s="58">
        <v>1000000.0</v>
      </c>
      <c r="G606" s="57" t="s">
        <v>251</v>
      </c>
      <c r="H606" s="59" t="s">
        <v>252</v>
      </c>
      <c r="I606" s="60" t="s">
        <v>253</v>
      </c>
      <c r="J606" s="61"/>
      <c r="K606" s="61"/>
      <c r="L606" s="42"/>
      <c r="M606" s="42"/>
      <c r="N606" s="42"/>
      <c r="O606" s="42"/>
      <c r="P606" s="42"/>
      <c r="Q606" s="42"/>
      <c r="R606" s="42"/>
      <c r="S606" s="42"/>
      <c r="T606" s="42"/>
      <c r="U606" s="42"/>
      <c r="V606" s="42"/>
      <c r="W606" s="42"/>
      <c r="X606" s="42"/>
      <c r="Y606" s="42"/>
      <c r="Z606" s="42"/>
    </row>
    <row r="607" ht="30.75" customHeight="1">
      <c r="A607" s="57" t="s">
        <v>247</v>
      </c>
      <c r="B607" s="57" t="s">
        <v>135</v>
      </c>
      <c r="C607" s="57" t="s">
        <v>2011</v>
      </c>
      <c r="D607" s="57" t="s">
        <v>2012</v>
      </c>
      <c r="E607" s="57" t="s">
        <v>2013</v>
      </c>
      <c r="F607" s="58">
        <v>1200000.0</v>
      </c>
      <c r="G607" s="57" t="s">
        <v>467</v>
      </c>
      <c r="H607" s="59" t="s">
        <v>252</v>
      </c>
      <c r="I607" s="60" t="s">
        <v>253</v>
      </c>
      <c r="J607" s="61"/>
      <c r="K607" s="61"/>
      <c r="L607" s="42"/>
      <c r="M607" s="42"/>
      <c r="N607" s="42"/>
      <c r="O607" s="42"/>
      <c r="P607" s="42"/>
      <c r="Q607" s="42"/>
      <c r="R607" s="42"/>
      <c r="S607" s="42"/>
      <c r="T607" s="42"/>
      <c r="U607" s="42"/>
      <c r="V607" s="42"/>
      <c r="W607" s="42"/>
      <c r="X607" s="42"/>
      <c r="Y607" s="42"/>
      <c r="Z607" s="42"/>
    </row>
    <row r="608" ht="30.75" customHeight="1">
      <c r="A608" s="57" t="s">
        <v>247</v>
      </c>
      <c r="B608" s="57" t="s">
        <v>135</v>
      </c>
      <c r="C608" s="57" t="s">
        <v>2014</v>
      </c>
      <c r="D608" s="57" t="s">
        <v>2015</v>
      </c>
      <c r="E608" s="57" t="s">
        <v>2016</v>
      </c>
      <c r="F608" s="58">
        <v>1500000.0</v>
      </c>
      <c r="G608" s="57" t="s">
        <v>467</v>
      </c>
      <c r="H608" s="59" t="s">
        <v>252</v>
      </c>
      <c r="I608" s="60" t="s">
        <v>253</v>
      </c>
      <c r="J608" s="61"/>
      <c r="K608" s="61"/>
      <c r="L608" s="42"/>
      <c r="M608" s="42"/>
      <c r="N608" s="42"/>
      <c r="O608" s="42"/>
      <c r="P608" s="42"/>
      <c r="Q608" s="42"/>
      <c r="R608" s="42"/>
      <c r="S608" s="42"/>
      <c r="T608" s="42"/>
      <c r="U608" s="42"/>
      <c r="V608" s="42"/>
      <c r="W608" s="42"/>
      <c r="X608" s="42"/>
      <c r="Y608" s="42"/>
      <c r="Z608" s="42"/>
    </row>
    <row r="609" ht="30.75" customHeight="1">
      <c r="A609" s="57" t="s">
        <v>247</v>
      </c>
      <c r="B609" s="57" t="s">
        <v>135</v>
      </c>
      <c r="C609" s="57" t="s">
        <v>2017</v>
      </c>
      <c r="D609" s="57" t="s">
        <v>2018</v>
      </c>
      <c r="E609" s="57" t="s">
        <v>2019</v>
      </c>
      <c r="F609" s="58">
        <v>1900000.0</v>
      </c>
      <c r="G609" s="57" t="s">
        <v>251</v>
      </c>
      <c r="H609" s="59" t="s">
        <v>252</v>
      </c>
      <c r="I609" s="60" t="s">
        <v>253</v>
      </c>
      <c r="J609" s="61"/>
      <c r="K609" s="61"/>
      <c r="L609" s="42"/>
      <c r="M609" s="42"/>
      <c r="N609" s="42"/>
      <c r="O609" s="42"/>
      <c r="P609" s="42"/>
      <c r="Q609" s="42"/>
      <c r="R609" s="42"/>
      <c r="S609" s="42"/>
      <c r="T609" s="42"/>
      <c r="U609" s="42"/>
      <c r="V609" s="42"/>
      <c r="W609" s="42"/>
      <c r="X609" s="42"/>
      <c r="Y609" s="42"/>
      <c r="Z609" s="42"/>
    </row>
    <row r="610" ht="30.75" customHeight="1">
      <c r="A610" s="57" t="s">
        <v>247</v>
      </c>
      <c r="B610" s="57" t="s">
        <v>135</v>
      </c>
      <c r="C610" s="57" t="s">
        <v>2020</v>
      </c>
      <c r="D610" s="57" t="s">
        <v>2021</v>
      </c>
      <c r="E610" s="57" t="s">
        <v>2022</v>
      </c>
      <c r="F610" s="58">
        <v>5500000.0</v>
      </c>
      <c r="G610" s="57" t="s">
        <v>251</v>
      </c>
      <c r="H610" s="59" t="s">
        <v>252</v>
      </c>
      <c r="I610" s="60" t="s">
        <v>253</v>
      </c>
      <c r="J610" s="61"/>
      <c r="K610" s="61"/>
      <c r="L610" s="42"/>
      <c r="M610" s="42"/>
      <c r="N610" s="42"/>
      <c r="O610" s="42"/>
      <c r="P610" s="42"/>
      <c r="Q610" s="42"/>
      <c r="R610" s="42"/>
      <c r="S610" s="42"/>
      <c r="T610" s="42"/>
      <c r="U610" s="42"/>
      <c r="V610" s="42"/>
      <c r="W610" s="42"/>
      <c r="X610" s="42"/>
      <c r="Y610" s="42"/>
      <c r="Z610" s="42"/>
    </row>
    <row r="611" ht="30.75" customHeight="1">
      <c r="A611" s="57" t="s">
        <v>247</v>
      </c>
      <c r="B611" s="57" t="s">
        <v>135</v>
      </c>
      <c r="C611" s="57" t="s">
        <v>2023</v>
      </c>
      <c r="D611" s="57" t="s">
        <v>2024</v>
      </c>
      <c r="E611" s="57" t="s">
        <v>2025</v>
      </c>
      <c r="F611" s="58">
        <v>5000000.0</v>
      </c>
      <c r="G611" s="57" t="s">
        <v>251</v>
      </c>
      <c r="H611" s="59" t="s">
        <v>252</v>
      </c>
      <c r="I611" s="60" t="s">
        <v>253</v>
      </c>
      <c r="J611" s="61"/>
      <c r="K611" s="61"/>
      <c r="L611" s="42"/>
      <c r="M611" s="42"/>
      <c r="N611" s="42"/>
      <c r="O611" s="42"/>
      <c r="P611" s="42"/>
      <c r="Q611" s="42"/>
      <c r="R611" s="42"/>
      <c r="S611" s="42"/>
      <c r="T611" s="42"/>
      <c r="U611" s="42"/>
      <c r="V611" s="42"/>
      <c r="W611" s="42"/>
      <c r="X611" s="42"/>
      <c r="Y611" s="42"/>
      <c r="Z611" s="42"/>
    </row>
    <row r="612" ht="28.5" customHeight="1">
      <c r="A612" s="57" t="s">
        <v>247</v>
      </c>
      <c r="B612" s="57" t="s">
        <v>135</v>
      </c>
      <c r="C612" s="57" t="s">
        <v>2026</v>
      </c>
      <c r="D612" s="57" t="s">
        <v>2027</v>
      </c>
      <c r="E612" s="59" t="s">
        <v>2028</v>
      </c>
      <c r="F612" s="58">
        <v>1.4E7</v>
      </c>
      <c r="G612" s="59" t="s">
        <v>251</v>
      </c>
      <c r="H612" s="59" t="s">
        <v>252</v>
      </c>
      <c r="I612" s="60" t="s">
        <v>468</v>
      </c>
      <c r="J612" s="61"/>
      <c r="K612" s="61"/>
      <c r="L612" s="42"/>
      <c r="M612" s="42"/>
      <c r="N612" s="42"/>
      <c r="O612" s="42"/>
      <c r="P612" s="42"/>
      <c r="Q612" s="42"/>
      <c r="R612" s="42"/>
      <c r="S612" s="42"/>
      <c r="T612" s="42"/>
      <c r="U612" s="42"/>
      <c r="V612" s="42"/>
      <c r="W612" s="42"/>
      <c r="X612" s="42"/>
      <c r="Y612" s="42"/>
      <c r="Z612" s="42"/>
    </row>
    <row r="613" ht="57.0" customHeight="1">
      <c r="A613" s="57" t="s">
        <v>247</v>
      </c>
      <c r="B613" s="57" t="s">
        <v>135</v>
      </c>
      <c r="C613" s="57" t="s">
        <v>2029</v>
      </c>
      <c r="D613" s="57" t="s">
        <v>2030</v>
      </c>
      <c r="E613" s="57" t="s">
        <v>2031</v>
      </c>
      <c r="F613" s="58">
        <v>1850000.0</v>
      </c>
      <c r="G613" s="57" t="s">
        <v>251</v>
      </c>
      <c r="H613" s="59" t="s">
        <v>252</v>
      </c>
      <c r="I613" s="59" t="s">
        <v>472</v>
      </c>
      <c r="J613" s="61"/>
      <c r="K613" s="61"/>
      <c r="L613" s="42"/>
      <c r="M613" s="42"/>
      <c r="N613" s="42"/>
      <c r="O613" s="42"/>
      <c r="P613" s="42"/>
      <c r="Q613" s="42"/>
      <c r="R613" s="42"/>
      <c r="S613" s="42"/>
      <c r="T613" s="42"/>
      <c r="U613" s="42"/>
      <c r="V613" s="42"/>
      <c r="W613" s="42"/>
      <c r="X613" s="42"/>
      <c r="Y613" s="42"/>
      <c r="Z613" s="42"/>
    </row>
    <row r="614" ht="85.5" customHeight="1">
      <c r="A614" s="57" t="s">
        <v>247</v>
      </c>
      <c r="B614" s="57" t="s">
        <v>135</v>
      </c>
      <c r="C614" s="57" t="s">
        <v>2032</v>
      </c>
      <c r="D614" s="57" t="s">
        <v>2033</v>
      </c>
      <c r="E614" s="57" t="s">
        <v>2034</v>
      </c>
      <c r="F614" s="58">
        <v>2600000.0</v>
      </c>
      <c r="G614" s="57" t="s">
        <v>251</v>
      </c>
      <c r="H614" s="59" t="s">
        <v>252</v>
      </c>
      <c r="I614" s="59" t="s">
        <v>472</v>
      </c>
      <c r="J614" s="61"/>
      <c r="K614" s="61"/>
      <c r="L614" s="42"/>
      <c r="M614" s="42"/>
      <c r="N614" s="42"/>
      <c r="O614" s="42"/>
      <c r="P614" s="42"/>
      <c r="Q614" s="42"/>
      <c r="R614" s="42"/>
      <c r="S614" s="42"/>
      <c r="T614" s="42"/>
      <c r="U614" s="42"/>
      <c r="V614" s="42"/>
      <c r="W614" s="42"/>
      <c r="X614" s="42"/>
      <c r="Y614" s="42"/>
      <c r="Z614" s="42"/>
    </row>
    <row r="615" ht="57.0" customHeight="1">
      <c r="A615" s="57" t="s">
        <v>247</v>
      </c>
      <c r="B615" s="57" t="s">
        <v>135</v>
      </c>
      <c r="C615" s="57" t="s">
        <v>2035</v>
      </c>
      <c r="D615" s="57" t="s">
        <v>2036</v>
      </c>
      <c r="E615" s="57" t="s">
        <v>2037</v>
      </c>
      <c r="F615" s="58">
        <v>5000000.0</v>
      </c>
      <c r="G615" s="57" t="s">
        <v>251</v>
      </c>
      <c r="H615" s="59" t="s">
        <v>252</v>
      </c>
      <c r="I615" s="59" t="s">
        <v>472</v>
      </c>
      <c r="J615" s="61"/>
      <c r="K615" s="61"/>
      <c r="L615" s="42"/>
      <c r="M615" s="42"/>
      <c r="N615" s="42"/>
      <c r="O615" s="42"/>
      <c r="P615" s="42"/>
      <c r="Q615" s="42"/>
      <c r="R615" s="42"/>
      <c r="S615" s="42"/>
      <c r="T615" s="42"/>
      <c r="U615" s="42"/>
      <c r="V615" s="42"/>
      <c r="W615" s="42"/>
      <c r="X615" s="42"/>
      <c r="Y615" s="42"/>
      <c r="Z615" s="42"/>
    </row>
    <row r="616" ht="57.0" customHeight="1">
      <c r="A616" s="57" t="s">
        <v>247</v>
      </c>
      <c r="B616" s="57" t="s">
        <v>135</v>
      </c>
      <c r="C616" s="57" t="s">
        <v>2038</v>
      </c>
      <c r="D616" s="57" t="s">
        <v>2039</v>
      </c>
      <c r="E616" s="57" t="s">
        <v>2040</v>
      </c>
      <c r="F616" s="58">
        <v>1000000.0</v>
      </c>
      <c r="G616" s="57" t="s">
        <v>467</v>
      </c>
      <c r="H616" s="59" t="s">
        <v>252</v>
      </c>
      <c r="I616" s="59" t="s">
        <v>472</v>
      </c>
      <c r="J616" s="61"/>
      <c r="K616" s="61"/>
      <c r="L616" s="42"/>
      <c r="M616" s="42"/>
      <c r="N616" s="42"/>
      <c r="O616" s="42"/>
      <c r="P616" s="42"/>
      <c r="Q616" s="42"/>
      <c r="R616" s="42"/>
      <c r="S616" s="42"/>
      <c r="T616" s="42"/>
      <c r="U616" s="42"/>
      <c r="V616" s="42"/>
      <c r="W616" s="42"/>
      <c r="X616" s="42"/>
      <c r="Y616" s="42"/>
      <c r="Z616" s="42"/>
    </row>
    <row r="617" ht="57.0" customHeight="1">
      <c r="A617" s="57" t="s">
        <v>247</v>
      </c>
      <c r="B617" s="57" t="s">
        <v>135</v>
      </c>
      <c r="C617" s="57" t="s">
        <v>2041</v>
      </c>
      <c r="D617" s="57" t="s">
        <v>2042</v>
      </c>
      <c r="E617" s="57" t="s">
        <v>2043</v>
      </c>
      <c r="F617" s="58">
        <v>5500000.0</v>
      </c>
      <c r="G617" s="57" t="s">
        <v>251</v>
      </c>
      <c r="H617" s="59" t="s">
        <v>252</v>
      </c>
      <c r="I617" s="59" t="s">
        <v>472</v>
      </c>
      <c r="J617" s="61"/>
      <c r="K617" s="61"/>
      <c r="L617" s="42"/>
      <c r="M617" s="42"/>
      <c r="N617" s="42"/>
      <c r="O617" s="42"/>
      <c r="P617" s="42"/>
      <c r="Q617" s="42"/>
      <c r="R617" s="42"/>
      <c r="S617" s="42"/>
      <c r="T617" s="42"/>
      <c r="U617" s="42"/>
      <c r="V617" s="42"/>
      <c r="W617" s="42"/>
      <c r="X617" s="42"/>
      <c r="Y617" s="42"/>
      <c r="Z617" s="42"/>
    </row>
    <row r="618" ht="30.75" customHeight="1">
      <c r="A618" s="57" t="s">
        <v>247</v>
      </c>
      <c r="B618" s="57" t="s">
        <v>135</v>
      </c>
      <c r="C618" s="57" t="s">
        <v>2044</v>
      </c>
      <c r="D618" s="57" t="s">
        <v>2045</v>
      </c>
      <c r="E618" s="57" t="s">
        <v>2046</v>
      </c>
      <c r="F618" s="58">
        <v>2500000.0</v>
      </c>
      <c r="G618" s="57" t="s">
        <v>251</v>
      </c>
      <c r="H618" s="59" t="s">
        <v>252</v>
      </c>
      <c r="I618" s="59" t="s">
        <v>472</v>
      </c>
      <c r="J618" s="61"/>
      <c r="K618" s="61"/>
      <c r="L618" s="42"/>
      <c r="M618" s="42"/>
      <c r="N618" s="42"/>
      <c r="O618" s="42"/>
      <c r="P618" s="42"/>
      <c r="Q618" s="42"/>
      <c r="R618" s="42"/>
      <c r="S618" s="42"/>
      <c r="T618" s="42"/>
      <c r="U618" s="42"/>
      <c r="V618" s="42"/>
      <c r="W618" s="42"/>
      <c r="X618" s="42"/>
      <c r="Y618" s="42"/>
      <c r="Z618" s="42"/>
    </row>
    <row r="619" ht="30.75" customHeight="1">
      <c r="A619" s="57" t="s">
        <v>247</v>
      </c>
      <c r="B619" s="57" t="s">
        <v>135</v>
      </c>
      <c r="C619" s="57" t="s">
        <v>2047</v>
      </c>
      <c r="D619" s="57" t="s">
        <v>2048</v>
      </c>
      <c r="E619" s="57" t="s">
        <v>2049</v>
      </c>
      <c r="F619" s="58">
        <v>2500000.0</v>
      </c>
      <c r="G619" s="57" t="s">
        <v>251</v>
      </c>
      <c r="H619" s="59" t="s">
        <v>252</v>
      </c>
      <c r="I619" s="59" t="s">
        <v>472</v>
      </c>
      <c r="J619" s="61"/>
      <c r="K619" s="61"/>
      <c r="L619" s="42"/>
      <c r="M619" s="42"/>
      <c r="N619" s="42"/>
      <c r="O619" s="42"/>
      <c r="P619" s="42"/>
      <c r="Q619" s="42"/>
      <c r="R619" s="42"/>
      <c r="S619" s="42"/>
      <c r="T619" s="42"/>
      <c r="U619" s="42"/>
      <c r="V619" s="42"/>
      <c r="W619" s="42"/>
      <c r="X619" s="42"/>
      <c r="Y619" s="42"/>
      <c r="Z619" s="42"/>
    </row>
    <row r="620" ht="30.75" customHeight="1">
      <c r="A620" s="57" t="s">
        <v>247</v>
      </c>
      <c r="B620" s="57" t="s">
        <v>135</v>
      </c>
      <c r="C620" s="57" t="s">
        <v>2050</v>
      </c>
      <c r="D620" s="57" t="s">
        <v>2051</v>
      </c>
      <c r="E620" s="57" t="s">
        <v>2052</v>
      </c>
      <c r="F620" s="58">
        <v>270000.0</v>
      </c>
      <c r="G620" s="57" t="s">
        <v>251</v>
      </c>
      <c r="H620" s="59" t="s">
        <v>252</v>
      </c>
      <c r="I620" s="59" t="s">
        <v>472</v>
      </c>
      <c r="J620" s="61"/>
      <c r="K620" s="61"/>
      <c r="L620" s="42"/>
      <c r="M620" s="42"/>
      <c r="N620" s="42"/>
      <c r="O620" s="42"/>
      <c r="P620" s="42"/>
      <c r="Q620" s="42"/>
      <c r="R620" s="42"/>
      <c r="S620" s="42"/>
      <c r="T620" s="42"/>
      <c r="U620" s="42"/>
      <c r="V620" s="42"/>
      <c r="W620" s="42"/>
      <c r="X620" s="42"/>
      <c r="Y620" s="42"/>
      <c r="Z620" s="42"/>
    </row>
    <row r="621" ht="30.75" customHeight="1">
      <c r="A621" s="57" t="s">
        <v>247</v>
      </c>
      <c r="B621" s="57" t="s">
        <v>135</v>
      </c>
      <c r="C621" s="57" t="s">
        <v>2053</v>
      </c>
      <c r="D621" s="57" t="s">
        <v>2054</v>
      </c>
      <c r="E621" s="57" t="s">
        <v>2055</v>
      </c>
      <c r="F621" s="58">
        <v>300000.0</v>
      </c>
      <c r="G621" s="57" t="s">
        <v>467</v>
      </c>
      <c r="H621" s="59" t="s">
        <v>252</v>
      </c>
      <c r="I621" s="59" t="s">
        <v>472</v>
      </c>
      <c r="J621" s="61"/>
      <c r="K621" s="61"/>
      <c r="L621" s="42"/>
      <c r="M621" s="42"/>
      <c r="N621" s="42"/>
      <c r="O621" s="42"/>
      <c r="P621" s="42"/>
      <c r="Q621" s="42"/>
      <c r="R621" s="42"/>
      <c r="S621" s="42"/>
      <c r="T621" s="42"/>
      <c r="U621" s="42"/>
      <c r="V621" s="42"/>
      <c r="W621" s="42"/>
      <c r="X621" s="42"/>
      <c r="Y621" s="42"/>
      <c r="Z621" s="42"/>
    </row>
    <row r="622" ht="30.75" customHeight="1">
      <c r="A622" s="57" t="s">
        <v>247</v>
      </c>
      <c r="B622" s="57" t="s">
        <v>135</v>
      </c>
      <c r="C622" s="57" t="s">
        <v>2056</v>
      </c>
      <c r="D622" s="57" t="s">
        <v>2057</v>
      </c>
      <c r="E622" s="57" t="s">
        <v>2058</v>
      </c>
      <c r="F622" s="58">
        <v>2.0E7</v>
      </c>
      <c r="G622" s="57" t="s">
        <v>251</v>
      </c>
      <c r="H622" s="59" t="s">
        <v>252</v>
      </c>
      <c r="I622" s="59" t="s">
        <v>635</v>
      </c>
      <c r="J622" s="61"/>
      <c r="K622" s="61"/>
      <c r="L622" s="42"/>
      <c r="M622" s="42"/>
      <c r="N622" s="42"/>
      <c r="O622" s="42"/>
      <c r="P622" s="42"/>
      <c r="Q622" s="42"/>
      <c r="R622" s="42"/>
      <c r="S622" s="42"/>
      <c r="T622" s="42"/>
      <c r="U622" s="42"/>
      <c r="V622" s="42"/>
      <c r="W622" s="42"/>
      <c r="X622" s="42"/>
      <c r="Y622" s="42"/>
      <c r="Z622" s="42"/>
    </row>
    <row r="623" ht="30.75" customHeight="1">
      <c r="A623" s="57" t="s">
        <v>247</v>
      </c>
      <c r="B623" s="57" t="s">
        <v>135</v>
      </c>
      <c r="C623" s="57" t="s">
        <v>2059</v>
      </c>
      <c r="D623" s="57" t="s">
        <v>2060</v>
      </c>
      <c r="E623" s="57" t="s">
        <v>2061</v>
      </c>
      <c r="F623" s="58">
        <v>2.0E7</v>
      </c>
      <c r="G623" s="57" t="s">
        <v>251</v>
      </c>
      <c r="H623" s="59" t="s">
        <v>252</v>
      </c>
      <c r="I623" s="59" t="s">
        <v>635</v>
      </c>
      <c r="J623" s="61"/>
      <c r="K623" s="61"/>
      <c r="L623" s="42"/>
      <c r="M623" s="42"/>
      <c r="N623" s="42"/>
      <c r="O623" s="42"/>
      <c r="P623" s="42"/>
      <c r="Q623" s="42"/>
      <c r="R623" s="42"/>
      <c r="S623" s="42"/>
      <c r="T623" s="42"/>
      <c r="U623" s="42"/>
      <c r="V623" s="42"/>
      <c r="W623" s="42"/>
      <c r="X623" s="42"/>
      <c r="Y623" s="42"/>
      <c r="Z623" s="42"/>
    </row>
    <row r="624" ht="30.75" customHeight="1">
      <c r="A624" s="57" t="s">
        <v>247</v>
      </c>
      <c r="B624" s="57" t="s">
        <v>135</v>
      </c>
      <c r="C624" s="57" t="s">
        <v>2062</v>
      </c>
      <c r="D624" s="57" t="s">
        <v>2063</v>
      </c>
      <c r="E624" s="57" t="s">
        <v>2064</v>
      </c>
      <c r="F624" s="58">
        <v>2.5E7</v>
      </c>
      <c r="G624" s="57" t="s">
        <v>251</v>
      </c>
      <c r="H624" s="59" t="s">
        <v>252</v>
      </c>
      <c r="I624" s="59" t="s">
        <v>635</v>
      </c>
      <c r="J624" s="61"/>
      <c r="K624" s="61"/>
      <c r="L624" s="42"/>
      <c r="M624" s="42"/>
      <c r="N624" s="42"/>
      <c r="O624" s="42"/>
      <c r="P624" s="42"/>
      <c r="Q624" s="42"/>
      <c r="R624" s="42"/>
      <c r="S624" s="42"/>
      <c r="T624" s="42"/>
      <c r="U624" s="42"/>
      <c r="V624" s="42"/>
      <c r="W624" s="42"/>
      <c r="X624" s="42"/>
      <c r="Y624" s="42"/>
      <c r="Z624" s="42"/>
    </row>
    <row r="625" ht="30.75" customHeight="1">
      <c r="A625" s="57" t="s">
        <v>247</v>
      </c>
      <c r="B625" s="57" t="s">
        <v>135</v>
      </c>
      <c r="C625" s="57" t="s">
        <v>2065</v>
      </c>
      <c r="D625" s="57" t="s">
        <v>2066</v>
      </c>
      <c r="E625" s="57" t="s">
        <v>2067</v>
      </c>
      <c r="F625" s="58">
        <v>7.5E7</v>
      </c>
      <c r="G625" s="57" t="s">
        <v>251</v>
      </c>
      <c r="H625" s="59" t="s">
        <v>252</v>
      </c>
      <c r="I625" s="59" t="s">
        <v>272</v>
      </c>
      <c r="J625" s="61"/>
      <c r="K625" s="61"/>
      <c r="L625" s="42"/>
      <c r="M625" s="42"/>
      <c r="N625" s="42"/>
      <c r="O625" s="42"/>
      <c r="P625" s="42"/>
      <c r="Q625" s="42"/>
      <c r="R625" s="42"/>
      <c r="S625" s="42"/>
      <c r="T625" s="42"/>
      <c r="U625" s="42"/>
      <c r="V625" s="42"/>
      <c r="W625" s="42"/>
      <c r="X625" s="42"/>
      <c r="Y625" s="42"/>
      <c r="Z625" s="42"/>
    </row>
    <row r="626" ht="30.75" customHeight="1">
      <c r="A626" s="52" t="s">
        <v>247</v>
      </c>
      <c r="B626" s="52" t="s">
        <v>138</v>
      </c>
      <c r="C626" s="52" t="s">
        <v>139</v>
      </c>
      <c r="D626" s="52" t="s">
        <v>140</v>
      </c>
      <c r="E626" s="52"/>
      <c r="F626" s="62"/>
      <c r="G626" s="52"/>
      <c r="H626" s="63"/>
      <c r="I626" s="63"/>
      <c r="J626" s="54"/>
      <c r="K626" s="54"/>
      <c r="L626" s="56"/>
      <c r="M626" s="56"/>
      <c r="N626" s="56"/>
      <c r="O626" s="56"/>
      <c r="P626" s="56"/>
      <c r="Q626" s="56"/>
      <c r="R626" s="56"/>
      <c r="S626" s="56"/>
      <c r="T626" s="56"/>
      <c r="U626" s="56"/>
      <c r="V626" s="56"/>
      <c r="W626" s="56"/>
      <c r="X626" s="56"/>
      <c r="Y626" s="56"/>
      <c r="Z626" s="56"/>
    </row>
    <row r="627" ht="57.0" customHeight="1">
      <c r="A627" s="57" t="s">
        <v>247</v>
      </c>
      <c r="B627" s="57" t="s">
        <v>138</v>
      </c>
      <c r="C627" s="57" t="s">
        <v>2068</v>
      </c>
      <c r="D627" s="57" t="s">
        <v>2069</v>
      </c>
      <c r="E627" s="57" t="s">
        <v>2070</v>
      </c>
      <c r="F627" s="58">
        <v>400000.0</v>
      </c>
      <c r="G627" s="57" t="s">
        <v>251</v>
      </c>
      <c r="H627" s="59" t="s">
        <v>252</v>
      </c>
      <c r="I627" s="60" t="s">
        <v>253</v>
      </c>
      <c r="J627" s="61"/>
      <c r="K627" s="61"/>
      <c r="L627" s="42"/>
      <c r="M627" s="42"/>
      <c r="N627" s="42"/>
      <c r="O627" s="42"/>
      <c r="P627" s="42"/>
      <c r="Q627" s="42"/>
      <c r="R627" s="42"/>
      <c r="S627" s="42"/>
      <c r="T627" s="42"/>
      <c r="U627" s="42"/>
      <c r="V627" s="42"/>
      <c r="W627" s="42"/>
      <c r="X627" s="42"/>
      <c r="Y627" s="42"/>
      <c r="Z627" s="42"/>
    </row>
    <row r="628" ht="57.0" customHeight="1">
      <c r="A628" s="57" t="s">
        <v>247</v>
      </c>
      <c r="B628" s="57" t="s">
        <v>138</v>
      </c>
      <c r="C628" s="57" t="s">
        <v>2071</v>
      </c>
      <c r="D628" s="57" t="s">
        <v>2072</v>
      </c>
      <c r="E628" s="57" t="s">
        <v>2073</v>
      </c>
      <c r="F628" s="58">
        <v>2200000.0</v>
      </c>
      <c r="G628" s="57" t="s">
        <v>664</v>
      </c>
      <c r="H628" s="59" t="s">
        <v>252</v>
      </c>
      <c r="I628" s="60" t="s">
        <v>253</v>
      </c>
      <c r="J628" s="61"/>
      <c r="K628" s="61"/>
      <c r="L628" s="42"/>
      <c r="M628" s="42"/>
      <c r="N628" s="42"/>
      <c r="O628" s="42"/>
      <c r="P628" s="42"/>
      <c r="Q628" s="42"/>
      <c r="R628" s="42"/>
      <c r="S628" s="42"/>
      <c r="T628" s="42"/>
      <c r="U628" s="42"/>
      <c r="V628" s="42"/>
      <c r="W628" s="42"/>
      <c r="X628" s="42"/>
      <c r="Y628" s="42"/>
      <c r="Z628" s="42"/>
    </row>
    <row r="629" ht="57.0" customHeight="1">
      <c r="A629" s="57" t="s">
        <v>247</v>
      </c>
      <c r="B629" s="57" t="s">
        <v>138</v>
      </c>
      <c r="C629" s="57" t="s">
        <v>2074</v>
      </c>
      <c r="D629" s="57" t="s">
        <v>2075</v>
      </c>
      <c r="E629" s="57" t="s">
        <v>2076</v>
      </c>
      <c r="F629" s="58">
        <v>1300000.0</v>
      </c>
      <c r="G629" s="57" t="s">
        <v>664</v>
      </c>
      <c r="H629" s="59" t="s">
        <v>252</v>
      </c>
      <c r="I629" s="60" t="s">
        <v>253</v>
      </c>
      <c r="J629" s="61"/>
      <c r="K629" s="61"/>
      <c r="L629" s="42"/>
      <c r="M629" s="42"/>
      <c r="N629" s="42"/>
      <c r="O629" s="42"/>
      <c r="P629" s="42"/>
      <c r="Q629" s="42"/>
      <c r="R629" s="42"/>
      <c r="S629" s="42"/>
      <c r="T629" s="42"/>
      <c r="U629" s="42"/>
      <c r="V629" s="42"/>
      <c r="W629" s="42"/>
      <c r="X629" s="42"/>
      <c r="Y629" s="42"/>
      <c r="Z629" s="42"/>
    </row>
    <row r="630" ht="57.0" customHeight="1">
      <c r="A630" s="57" t="s">
        <v>247</v>
      </c>
      <c r="B630" s="57" t="s">
        <v>138</v>
      </c>
      <c r="C630" s="57" t="s">
        <v>2077</v>
      </c>
      <c r="D630" s="57" t="s">
        <v>2078</v>
      </c>
      <c r="E630" s="57" t="s">
        <v>2079</v>
      </c>
      <c r="F630" s="58">
        <v>550000.0</v>
      </c>
      <c r="G630" s="57" t="s">
        <v>664</v>
      </c>
      <c r="H630" s="59" t="s">
        <v>252</v>
      </c>
      <c r="I630" s="60" t="s">
        <v>253</v>
      </c>
      <c r="J630" s="61"/>
      <c r="K630" s="61"/>
      <c r="L630" s="42"/>
      <c r="M630" s="42"/>
      <c r="N630" s="42"/>
      <c r="O630" s="42"/>
      <c r="P630" s="42"/>
      <c r="Q630" s="42"/>
      <c r="R630" s="42"/>
      <c r="S630" s="42"/>
      <c r="T630" s="42"/>
      <c r="U630" s="42"/>
      <c r="V630" s="42"/>
      <c r="W630" s="42"/>
      <c r="X630" s="42"/>
      <c r="Y630" s="42"/>
      <c r="Z630" s="42"/>
    </row>
    <row r="631" ht="57.0" customHeight="1">
      <c r="A631" s="57" t="s">
        <v>247</v>
      </c>
      <c r="B631" s="57" t="s">
        <v>138</v>
      </c>
      <c r="C631" s="57" t="s">
        <v>2080</v>
      </c>
      <c r="D631" s="57" t="s">
        <v>2081</v>
      </c>
      <c r="E631" s="57" t="s">
        <v>2079</v>
      </c>
      <c r="F631" s="58">
        <v>900000.0</v>
      </c>
      <c r="G631" s="57" t="s">
        <v>664</v>
      </c>
      <c r="H631" s="59" t="s">
        <v>252</v>
      </c>
      <c r="I631" s="60" t="s">
        <v>253</v>
      </c>
      <c r="J631" s="61"/>
      <c r="K631" s="61"/>
      <c r="L631" s="42"/>
      <c r="M631" s="42"/>
      <c r="N631" s="42"/>
      <c r="O631" s="42"/>
      <c r="P631" s="42"/>
      <c r="Q631" s="42"/>
      <c r="R631" s="42"/>
      <c r="S631" s="42"/>
      <c r="T631" s="42"/>
      <c r="U631" s="42"/>
      <c r="V631" s="42"/>
      <c r="W631" s="42"/>
      <c r="X631" s="42"/>
      <c r="Y631" s="42"/>
      <c r="Z631" s="42"/>
    </row>
    <row r="632" ht="57.0" customHeight="1">
      <c r="A632" s="57" t="s">
        <v>247</v>
      </c>
      <c r="B632" s="57" t="s">
        <v>138</v>
      </c>
      <c r="C632" s="57" t="s">
        <v>2082</v>
      </c>
      <c r="D632" s="57" t="s">
        <v>2083</v>
      </c>
      <c r="E632" s="57" t="s">
        <v>2084</v>
      </c>
      <c r="F632" s="58">
        <v>250000.0</v>
      </c>
      <c r="G632" s="57" t="s">
        <v>664</v>
      </c>
      <c r="H632" s="59" t="s">
        <v>252</v>
      </c>
      <c r="I632" s="60" t="s">
        <v>253</v>
      </c>
      <c r="J632" s="61"/>
      <c r="K632" s="61"/>
      <c r="L632" s="42"/>
      <c r="M632" s="42"/>
      <c r="N632" s="42"/>
      <c r="O632" s="42"/>
      <c r="P632" s="42"/>
      <c r="Q632" s="42"/>
      <c r="R632" s="42"/>
      <c r="S632" s="42"/>
      <c r="T632" s="42"/>
      <c r="U632" s="42"/>
      <c r="V632" s="42"/>
      <c r="W632" s="42"/>
      <c r="X632" s="42"/>
      <c r="Y632" s="42"/>
      <c r="Z632" s="42"/>
    </row>
    <row r="633" ht="57.0" customHeight="1">
      <c r="A633" s="57" t="s">
        <v>247</v>
      </c>
      <c r="B633" s="57" t="s">
        <v>138</v>
      </c>
      <c r="C633" s="57" t="s">
        <v>2085</v>
      </c>
      <c r="D633" s="57" t="s">
        <v>2086</v>
      </c>
      <c r="E633" s="57" t="s">
        <v>2084</v>
      </c>
      <c r="F633" s="58">
        <v>400000.0</v>
      </c>
      <c r="G633" s="57" t="s">
        <v>664</v>
      </c>
      <c r="H633" s="59" t="s">
        <v>252</v>
      </c>
      <c r="I633" s="60" t="s">
        <v>253</v>
      </c>
      <c r="J633" s="61"/>
      <c r="K633" s="61"/>
      <c r="L633" s="42"/>
      <c r="M633" s="42"/>
      <c r="N633" s="42"/>
      <c r="O633" s="42"/>
      <c r="P633" s="42"/>
      <c r="Q633" s="42"/>
      <c r="R633" s="42"/>
      <c r="S633" s="42"/>
      <c r="T633" s="42"/>
      <c r="U633" s="42"/>
      <c r="V633" s="42"/>
      <c r="W633" s="42"/>
      <c r="X633" s="42"/>
      <c r="Y633" s="42"/>
      <c r="Z633" s="42"/>
    </row>
    <row r="634" ht="57.0" customHeight="1">
      <c r="A634" s="57" t="s">
        <v>247</v>
      </c>
      <c r="B634" s="57" t="s">
        <v>138</v>
      </c>
      <c r="C634" s="57" t="s">
        <v>2087</v>
      </c>
      <c r="D634" s="57" t="s">
        <v>2088</v>
      </c>
      <c r="E634" s="57" t="s">
        <v>2089</v>
      </c>
      <c r="F634" s="69">
        <v>8000000.0</v>
      </c>
      <c r="G634" s="59" t="s">
        <v>251</v>
      </c>
      <c r="H634" s="59" t="s">
        <v>252</v>
      </c>
      <c r="I634" s="60" t="s">
        <v>468</v>
      </c>
      <c r="J634" s="61"/>
      <c r="K634" s="61"/>
      <c r="L634" s="42"/>
      <c r="M634" s="42"/>
      <c r="N634" s="42"/>
      <c r="O634" s="42"/>
      <c r="P634" s="42"/>
      <c r="Q634" s="42"/>
      <c r="R634" s="42"/>
      <c r="S634" s="42"/>
      <c r="T634" s="42"/>
      <c r="U634" s="42"/>
      <c r="V634" s="42"/>
      <c r="W634" s="42"/>
      <c r="X634" s="42"/>
      <c r="Y634" s="42"/>
      <c r="Z634" s="42"/>
    </row>
    <row r="635" ht="85.5" customHeight="1">
      <c r="A635" s="57" t="s">
        <v>247</v>
      </c>
      <c r="B635" s="57" t="s">
        <v>138</v>
      </c>
      <c r="C635" s="57" t="s">
        <v>2090</v>
      </c>
      <c r="D635" s="57" t="s">
        <v>2091</v>
      </c>
      <c r="E635" s="57" t="s">
        <v>2092</v>
      </c>
      <c r="F635" s="69">
        <v>1.5E7</v>
      </c>
      <c r="G635" s="59" t="s">
        <v>251</v>
      </c>
      <c r="H635" s="59" t="s">
        <v>252</v>
      </c>
      <c r="I635" s="60" t="s">
        <v>468</v>
      </c>
      <c r="J635" s="61"/>
      <c r="K635" s="61"/>
      <c r="L635" s="42"/>
      <c r="M635" s="42"/>
      <c r="N635" s="42"/>
      <c r="O635" s="42"/>
      <c r="P635" s="42"/>
      <c r="Q635" s="42"/>
      <c r="R635" s="42"/>
      <c r="S635" s="42"/>
      <c r="T635" s="42"/>
      <c r="U635" s="42"/>
      <c r="V635" s="42"/>
      <c r="W635" s="42"/>
      <c r="X635" s="42"/>
      <c r="Y635" s="42"/>
      <c r="Z635" s="42"/>
    </row>
    <row r="636" ht="85.5" customHeight="1">
      <c r="A636" s="57" t="s">
        <v>247</v>
      </c>
      <c r="B636" s="57" t="s">
        <v>138</v>
      </c>
      <c r="C636" s="57" t="s">
        <v>2093</v>
      </c>
      <c r="D636" s="57" t="s">
        <v>2094</v>
      </c>
      <c r="E636" s="57" t="s">
        <v>2095</v>
      </c>
      <c r="F636" s="69">
        <v>2.5E7</v>
      </c>
      <c r="G636" s="59" t="s">
        <v>251</v>
      </c>
      <c r="H636" s="59" t="s">
        <v>252</v>
      </c>
      <c r="I636" s="60" t="s">
        <v>468</v>
      </c>
      <c r="J636" s="61"/>
      <c r="K636" s="61"/>
      <c r="L636" s="42"/>
      <c r="M636" s="42"/>
      <c r="N636" s="42"/>
      <c r="O636" s="42"/>
      <c r="P636" s="42"/>
      <c r="Q636" s="42"/>
      <c r="R636" s="42"/>
      <c r="S636" s="42"/>
      <c r="T636" s="42"/>
      <c r="U636" s="42"/>
      <c r="V636" s="42"/>
      <c r="W636" s="42"/>
      <c r="X636" s="42"/>
      <c r="Y636" s="42"/>
      <c r="Z636" s="42"/>
    </row>
    <row r="637" ht="57.0" customHeight="1">
      <c r="A637" s="57" t="s">
        <v>247</v>
      </c>
      <c r="B637" s="57" t="s">
        <v>138</v>
      </c>
      <c r="C637" s="57" t="s">
        <v>2096</v>
      </c>
      <c r="D637" s="57" t="s">
        <v>2097</v>
      </c>
      <c r="E637" s="57" t="s">
        <v>2098</v>
      </c>
      <c r="F637" s="71">
        <v>4000000.0</v>
      </c>
      <c r="G637" s="57" t="s">
        <v>251</v>
      </c>
      <c r="H637" s="59" t="s">
        <v>252</v>
      </c>
      <c r="I637" s="60" t="s">
        <v>468</v>
      </c>
      <c r="J637" s="61"/>
      <c r="K637" s="61"/>
      <c r="L637" s="42"/>
      <c r="M637" s="42"/>
      <c r="N637" s="42"/>
      <c r="O637" s="42"/>
      <c r="P637" s="42"/>
      <c r="Q637" s="42"/>
      <c r="R637" s="42"/>
      <c r="S637" s="42"/>
      <c r="T637" s="42"/>
      <c r="U637" s="42"/>
      <c r="V637" s="42"/>
      <c r="W637" s="42"/>
      <c r="X637" s="42"/>
      <c r="Y637" s="42"/>
      <c r="Z637" s="42"/>
    </row>
    <row r="638" ht="57.0" customHeight="1">
      <c r="A638" s="57" t="s">
        <v>247</v>
      </c>
      <c r="B638" s="57" t="s">
        <v>138</v>
      </c>
      <c r="C638" s="57" t="s">
        <v>2099</v>
      </c>
      <c r="D638" s="57" t="s">
        <v>2100</v>
      </c>
      <c r="E638" s="57" t="s">
        <v>2101</v>
      </c>
      <c r="F638" s="71">
        <v>1000000.0</v>
      </c>
      <c r="G638" s="57" t="s">
        <v>251</v>
      </c>
      <c r="H638" s="59" t="s">
        <v>252</v>
      </c>
      <c r="I638" s="60" t="s">
        <v>468</v>
      </c>
      <c r="J638" s="61"/>
      <c r="K638" s="61"/>
      <c r="L638" s="42"/>
      <c r="M638" s="42"/>
      <c r="N638" s="42"/>
      <c r="O638" s="42"/>
      <c r="P638" s="42"/>
      <c r="Q638" s="42"/>
      <c r="R638" s="42"/>
      <c r="S638" s="42"/>
      <c r="T638" s="42"/>
      <c r="U638" s="42"/>
      <c r="V638" s="42"/>
      <c r="W638" s="42"/>
      <c r="X638" s="42"/>
      <c r="Y638" s="42"/>
      <c r="Z638" s="42"/>
    </row>
    <row r="639" ht="57.0" customHeight="1">
      <c r="A639" s="57" t="s">
        <v>247</v>
      </c>
      <c r="B639" s="57" t="s">
        <v>138</v>
      </c>
      <c r="C639" s="57" t="s">
        <v>2102</v>
      </c>
      <c r="D639" s="57" t="s">
        <v>2103</v>
      </c>
      <c r="E639" s="57" t="s">
        <v>2104</v>
      </c>
      <c r="F639" s="71">
        <v>1500000.0</v>
      </c>
      <c r="G639" s="57" t="s">
        <v>251</v>
      </c>
      <c r="H639" s="59" t="s">
        <v>252</v>
      </c>
      <c r="I639" s="60" t="s">
        <v>272</v>
      </c>
      <c r="J639" s="61"/>
      <c r="K639" s="61"/>
      <c r="L639" s="42"/>
      <c r="M639" s="42"/>
      <c r="N639" s="42"/>
      <c r="O639" s="42"/>
      <c r="P639" s="42"/>
      <c r="Q639" s="42"/>
      <c r="R639" s="42"/>
      <c r="S639" s="42"/>
      <c r="T639" s="42"/>
      <c r="U639" s="42"/>
      <c r="V639" s="42"/>
      <c r="W639" s="42"/>
      <c r="X639" s="42"/>
      <c r="Y639" s="42"/>
      <c r="Z639" s="42"/>
    </row>
    <row r="640" ht="57.0" customHeight="1">
      <c r="A640" s="57" t="s">
        <v>247</v>
      </c>
      <c r="B640" s="57" t="s">
        <v>138</v>
      </c>
      <c r="C640" s="57" t="s">
        <v>2105</v>
      </c>
      <c r="D640" s="57" t="s">
        <v>2106</v>
      </c>
      <c r="E640" s="57" t="s">
        <v>2107</v>
      </c>
      <c r="F640" s="71">
        <v>5000000.0</v>
      </c>
      <c r="G640" s="57" t="s">
        <v>251</v>
      </c>
      <c r="H640" s="59" t="s">
        <v>252</v>
      </c>
      <c r="I640" s="60" t="s">
        <v>272</v>
      </c>
      <c r="J640" s="61"/>
      <c r="K640" s="61"/>
      <c r="L640" s="42"/>
      <c r="M640" s="42"/>
      <c r="N640" s="42"/>
      <c r="O640" s="42"/>
      <c r="P640" s="42"/>
      <c r="Q640" s="42"/>
      <c r="R640" s="42"/>
      <c r="S640" s="42"/>
      <c r="T640" s="42"/>
      <c r="U640" s="42"/>
      <c r="V640" s="42"/>
      <c r="W640" s="42"/>
      <c r="X640" s="42"/>
      <c r="Y640" s="42"/>
      <c r="Z640" s="42"/>
    </row>
    <row r="641" ht="57.0" customHeight="1">
      <c r="A641" s="57" t="s">
        <v>247</v>
      </c>
      <c r="B641" s="57" t="s">
        <v>138</v>
      </c>
      <c r="C641" s="57" t="s">
        <v>2108</v>
      </c>
      <c r="D641" s="57" t="s">
        <v>2109</v>
      </c>
      <c r="E641" s="57" t="s">
        <v>2110</v>
      </c>
      <c r="F641" s="71">
        <v>1.0E7</v>
      </c>
      <c r="G641" s="57" t="s">
        <v>251</v>
      </c>
      <c r="H641" s="59" t="s">
        <v>252</v>
      </c>
      <c r="I641" s="60" t="s">
        <v>272</v>
      </c>
      <c r="J641" s="61"/>
      <c r="K641" s="61"/>
      <c r="L641" s="42"/>
      <c r="M641" s="42"/>
      <c r="N641" s="42"/>
      <c r="O641" s="42"/>
      <c r="P641" s="42"/>
      <c r="Q641" s="42"/>
      <c r="R641" s="42"/>
      <c r="S641" s="42"/>
      <c r="T641" s="42"/>
      <c r="U641" s="42"/>
      <c r="V641" s="42"/>
      <c r="W641" s="42"/>
      <c r="X641" s="42"/>
      <c r="Y641" s="42"/>
      <c r="Z641" s="42"/>
    </row>
    <row r="642" ht="30.75" customHeight="1">
      <c r="A642" s="52" t="s">
        <v>247</v>
      </c>
      <c r="B642" s="52" t="s">
        <v>141</v>
      </c>
      <c r="C642" s="52" t="s">
        <v>142</v>
      </c>
      <c r="D642" s="52" t="s">
        <v>143</v>
      </c>
      <c r="E642" s="52"/>
      <c r="F642" s="62"/>
      <c r="G642" s="52"/>
      <c r="H642" s="63"/>
      <c r="I642" s="63"/>
      <c r="J642" s="54"/>
      <c r="K642" s="54"/>
      <c r="L642" s="56"/>
      <c r="M642" s="56"/>
      <c r="N642" s="56"/>
      <c r="O642" s="56"/>
      <c r="P642" s="56"/>
      <c r="Q642" s="56"/>
      <c r="R642" s="56"/>
      <c r="S642" s="56"/>
      <c r="T642" s="56"/>
      <c r="U642" s="56"/>
      <c r="V642" s="56"/>
      <c r="W642" s="56"/>
      <c r="X642" s="56"/>
      <c r="Y642" s="56"/>
      <c r="Z642" s="56"/>
    </row>
    <row r="643" ht="30.75" customHeight="1">
      <c r="A643" s="57" t="s">
        <v>247</v>
      </c>
      <c r="B643" s="57" t="s">
        <v>141</v>
      </c>
      <c r="C643" s="57" t="s">
        <v>2111</v>
      </c>
      <c r="D643" s="57" t="s">
        <v>2112</v>
      </c>
      <c r="E643" s="57" t="s">
        <v>2113</v>
      </c>
      <c r="F643" s="58">
        <v>4.0E7</v>
      </c>
      <c r="G643" s="57" t="s">
        <v>251</v>
      </c>
      <c r="H643" s="59" t="s">
        <v>252</v>
      </c>
      <c r="I643" s="60" t="s">
        <v>253</v>
      </c>
      <c r="J643" s="61"/>
      <c r="K643" s="61"/>
      <c r="L643" s="42"/>
      <c r="M643" s="42"/>
      <c r="N643" s="42"/>
      <c r="O643" s="42"/>
      <c r="P643" s="42"/>
      <c r="Q643" s="42"/>
      <c r="R643" s="42"/>
      <c r="S643" s="42"/>
      <c r="T643" s="42"/>
      <c r="U643" s="42"/>
      <c r="V643" s="42"/>
      <c r="W643" s="42"/>
      <c r="X643" s="42"/>
      <c r="Y643" s="42"/>
      <c r="Z643" s="42"/>
    </row>
    <row r="644" ht="30.75" customHeight="1">
      <c r="A644" s="57" t="s">
        <v>247</v>
      </c>
      <c r="B644" s="57" t="s">
        <v>141</v>
      </c>
      <c r="C644" s="57" t="s">
        <v>2114</v>
      </c>
      <c r="D644" s="57" t="s">
        <v>2115</v>
      </c>
      <c r="E644" s="57" t="s">
        <v>2116</v>
      </c>
      <c r="F644" s="58">
        <v>1.2E8</v>
      </c>
      <c r="G644" s="57" t="s">
        <v>251</v>
      </c>
      <c r="H644" s="59" t="s">
        <v>252</v>
      </c>
      <c r="I644" s="60" t="s">
        <v>253</v>
      </c>
      <c r="J644" s="61"/>
      <c r="K644" s="61"/>
      <c r="L644" s="42"/>
      <c r="M644" s="42"/>
      <c r="N644" s="42"/>
      <c r="O644" s="42"/>
      <c r="P644" s="42"/>
      <c r="Q644" s="42"/>
      <c r="R644" s="42"/>
      <c r="S644" s="42"/>
      <c r="T644" s="42"/>
      <c r="U644" s="42"/>
      <c r="V644" s="42"/>
      <c r="W644" s="42"/>
      <c r="X644" s="42"/>
      <c r="Y644" s="42"/>
      <c r="Z644" s="42"/>
    </row>
    <row r="645" ht="30.75" customHeight="1">
      <c r="A645" s="57" t="s">
        <v>247</v>
      </c>
      <c r="B645" s="57" t="s">
        <v>141</v>
      </c>
      <c r="C645" s="57" t="s">
        <v>2117</v>
      </c>
      <c r="D645" s="57" t="s">
        <v>2118</v>
      </c>
      <c r="E645" s="57" t="s">
        <v>2119</v>
      </c>
      <c r="F645" s="58">
        <v>1.8E8</v>
      </c>
      <c r="G645" s="57" t="s">
        <v>251</v>
      </c>
      <c r="H645" s="59" t="s">
        <v>252</v>
      </c>
      <c r="I645" s="60" t="s">
        <v>253</v>
      </c>
      <c r="J645" s="61"/>
      <c r="K645" s="61"/>
      <c r="L645" s="42"/>
      <c r="M645" s="42"/>
      <c r="N645" s="42"/>
      <c r="O645" s="42"/>
      <c r="P645" s="42"/>
      <c r="Q645" s="42"/>
      <c r="R645" s="42"/>
      <c r="S645" s="42"/>
      <c r="T645" s="42"/>
      <c r="U645" s="42"/>
      <c r="V645" s="42"/>
      <c r="W645" s="42"/>
      <c r="X645" s="42"/>
      <c r="Y645" s="42"/>
      <c r="Z645" s="42"/>
    </row>
    <row r="646" ht="57.0" customHeight="1">
      <c r="A646" s="57" t="s">
        <v>247</v>
      </c>
      <c r="B646" s="57" t="s">
        <v>141</v>
      </c>
      <c r="C646" s="57" t="s">
        <v>2120</v>
      </c>
      <c r="D646" s="57" t="s">
        <v>2121</v>
      </c>
      <c r="E646" s="57" t="s">
        <v>2122</v>
      </c>
      <c r="F646" s="58">
        <v>3.0E7</v>
      </c>
      <c r="G646" s="57" t="s">
        <v>251</v>
      </c>
      <c r="H646" s="59" t="s">
        <v>252</v>
      </c>
      <c r="I646" s="60" t="s">
        <v>253</v>
      </c>
      <c r="J646" s="61"/>
      <c r="K646" s="61"/>
      <c r="L646" s="42"/>
      <c r="M646" s="42"/>
      <c r="N646" s="42"/>
      <c r="O646" s="42"/>
      <c r="P646" s="42"/>
      <c r="Q646" s="42"/>
      <c r="R646" s="42"/>
      <c r="S646" s="42"/>
      <c r="T646" s="42"/>
      <c r="U646" s="42"/>
      <c r="V646" s="42"/>
      <c r="W646" s="42"/>
      <c r="X646" s="42"/>
      <c r="Y646" s="42"/>
      <c r="Z646" s="42"/>
    </row>
    <row r="647" ht="30.75" customHeight="1">
      <c r="A647" s="57" t="s">
        <v>247</v>
      </c>
      <c r="B647" s="57" t="s">
        <v>141</v>
      </c>
      <c r="C647" s="57" t="s">
        <v>2123</v>
      </c>
      <c r="D647" s="57" t="s">
        <v>2124</v>
      </c>
      <c r="E647" s="57" t="s">
        <v>2125</v>
      </c>
      <c r="F647" s="58">
        <v>2.5E7</v>
      </c>
      <c r="G647" s="57" t="s">
        <v>251</v>
      </c>
      <c r="H647" s="59" t="s">
        <v>252</v>
      </c>
      <c r="I647" s="60" t="s">
        <v>253</v>
      </c>
      <c r="J647" s="61"/>
      <c r="K647" s="61"/>
      <c r="L647" s="42"/>
      <c r="M647" s="42"/>
      <c r="N647" s="42"/>
      <c r="O647" s="42"/>
      <c r="P647" s="42"/>
      <c r="Q647" s="42"/>
      <c r="R647" s="42"/>
      <c r="S647" s="42"/>
      <c r="T647" s="42"/>
      <c r="U647" s="42"/>
      <c r="V647" s="42"/>
      <c r="W647" s="42"/>
      <c r="X647" s="42"/>
      <c r="Y647" s="42"/>
      <c r="Z647" s="42"/>
    </row>
    <row r="648" ht="30.75" customHeight="1">
      <c r="A648" s="57" t="s">
        <v>247</v>
      </c>
      <c r="B648" s="57" t="s">
        <v>141</v>
      </c>
      <c r="C648" s="57" t="s">
        <v>2126</v>
      </c>
      <c r="D648" s="57" t="s">
        <v>2127</v>
      </c>
      <c r="E648" s="57" t="s">
        <v>2128</v>
      </c>
      <c r="F648" s="58">
        <v>4.0E7</v>
      </c>
      <c r="G648" s="57" t="s">
        <v>251</v>
      </c>
      <c r="H648" s="59" t="s">
        <v>252</v>
      </c>
      <c r="I648" s="60" t="s">
        <v>253</v>
      </c>
      <c r="J648" s="61"/>
      <c r="K648" s="61"/>
      <c r="L648" s="42"/>
      <c r="M648" s="42"/>
      <c r="N648" s="42"/>
      <c r="O648" s="42"/>
      <c r="P648" s="42"/>
      <c r="Q648" s="42"/>
      <c r="R648" s="42"/>
      <c r="S648" s="42"/>
      <c r="T648" s="42"/>
      <c r="U648" s="42"/>
      <c r="V648" s="42"/>
      <c r="W648" s="42"/>
      <c r="X648" s="42"/>
      <c r="Y648" s="42"/>
      <c r="Z648" s="42"/>
    </row>
    <row r="649" ht="57.0" customHeight="1">
      <c r="A649" s="57" t="s">
        <v>247</v>
      </c>
      <c r="B649" s="57" t="s">
        <v>141</v>
      </c>
      <c r="C649" s="57" t="s">
        <v>2129</v>
      </c>
      <c r="D649" s="57" t="s">
        <v>2130</v>
      </c>
      <c r="E649" s="57" t="s">
        <v>2131</v>
      </c>
      <c r="F649" s="58">
        <v>6000000.0</v>
      </c>
      <c r="G649" s="57" t="s">
        <v>251</v>
      </c>
      <c r="H649" s="59" t="s">
        <v>252</v>
      </c>
      <c r="I649" s="60" t="s">
        <v>253</v>
      </c>
      <c r="J649" s="61"/>
      <c r="K649" s="61"/>
      <c r="L649" s="42"/>
      <c r="M649" s="42"/>
      <c r="N649" s="42"/>
      <c r="O649" s="42"/>
      <c r="P649" s="42"/>
      <c r="Q649" s="42"/>
      <c r="R649" s="42"/>
      <c r="S649" s="42"/>
      <c r="T649" s="42"/>
      <c r="U649" s="42"/>
      <c r="V649" s="42"/>
      <c r="W649" s="42"/>
      <c r="X649" s="42"/>
      <c r="Y649" s="42"/>
      <c r="Z649" s="42"/>
    </row>
    <row r="650" ht="57.0" customHeight="1">
      <c r="A650" s="57" t="s">
        <v>247</v>
      </c>
      <c r="B650" s="57" t="s">
        <v>141</v>
      </c>
      <c r="C650" s="57" t="s">
        <v>2132</v>
      </c>
      <c r="D650" s="57" t="s">
        <v>2133</v>
      </c>
      <c r="E650" s="57" t="s">
        <v>2134</v>
      </c>
      <c r="F650" s="58">
        <v>6000000.0</v>
      </c>
      <c r="G650" s="57" t="s">
        <v>251</v>
      </c>
      <c r="H650" s="59" t="s">
        <v>252</v>
      </c>
      <c r="I650" s="60" t="s">
        <v>253</v>
      </c>
      <c r="J650" s="61"/>
      <c r="K650" s="61"/>
      <c r="L650" s="42"/>
      <c r="M650" s="42"/>
      <c r="N650" s="42"/>
      <c r="O650" s="42"/>
      <c r="P650" s="42"/>
      <c r="Q650" s="42"/>
      <c r="R650" s="42"/>
      <c r="S650" s="42"/>
      <c r="T650" s="42"/>
      <c r="U650" s="42"/>
      <c r="V650" s="42"/>
      <c r="W650" s="42"/>
      <c r="X650" s="42"/>
      <c r="Y650" s="42"/>
      <c r="Z650" s="42"/>
    </row>
    <row r="651" ht="57.0" customHeight="1">
      <c r="A651" s="57" t="s">
        <v>247</v>
      </c>
      <c r="B651" s="57" t="s">
        <v>141</v>
      </c>
      <c r="C651" s="57" t="s">
        <v>2135</v>
      </c>
      <c r="D651" s="57" t="s">
        <v>2136</v>
      </c>
      <c r="E651" s="57" t="s">
        <v>2137</v>
      </c>
      <c r="F651" s="58">
        <v>2.3E8</v>
      </c>
      <c r="G651" s="57" t="s">
        <v>251</v>
      </c>
      <c r="H651" s="59" t="s">
        <v>252</v>
      </c>
      <c r="I651" s="60" t="s">
        <v>253</v>
      </c>
      <c r="J651" s="61"/>
      <c r="K651" s="61"/>
      <c r="L651" s="42"/>
      <c r="M651" s="42"/>
      <c r="N651" s="42"/>
      <c r="O651" s="42"/>
      <c r="P651" s="42"/>
      <c r="Q651" s="42"/>
      <c r="R651" s="42"/>
      <c r="S651" s="42"/>
      <c r="T651" s="42"/>
      <c r="U651" s="42"/>
      <c r="V651" s="42"/>
      <c r="W651" s="42"/>
      <c r="X651" s="42"/>
      <c r="Y651" s="42"/>
      <c r="Z651" s="42"/>
    </row>
    <row r="652" ht="57.0" customHeight="1">
      <c r="A652" s="57" t="s">
        <v>247</v>
      </c>
      <c r="B652" s="57" t="s">
        <v>141</v>
      </c>
      <c r="C652" s="57" t="s">
        <v>2138</v>
      </c>
      <c r="D652" s="57" t="s">
        <v>2139</v>
      </c>
      <c r="E652" s="59" t="s">
        <v>2140</v>
      </c>
      <c r="F652" s="58">
        <v>1.0E7</v>
      </c>
      <c r="G652" s="59" t="s">
        <v>251</v>
      </c>
      <c r="H652" s="59" t="s">
        <v>252</v>
      </c>
      <c r="I652" s="60" t="s">
        <v>468</v>
      </c>
      <c r="J652" s="61"/>
      <c r="K652" s="61"/>
      <c r="L652" s="42"/>
      <c r="M652" s="42"/>
      <c r="N652" s="42"/>
      <c r="O652" s="42"/>
      <c r="P652" s="42"/>
      <c r="Q652" s="42"/>
      <c r="R652" s="42"/>
      <c r="S652" s="42"/>
      <c r="T652" s="42"/>
      <c r="U652" s="42"/>
      <c r="V652" s="42"/>
      <c r="W652" s="42"/>
      <c r="X652" s="42"/>
      <c r="Y652" s="42"/>
      <c r="Z652" s="42"/>
    </row>
    <row r="653" ht="57.0" customHeight="1">
      <c r="A653" s="57" t="s">
        <v>247</v>
      </c>
      <c r="B653" s="57" t="s">
        <v>141</v>
      </c>
      <c r="C653" s="57" t="s">
        <v>2141</v>
      </c>
      <c r="D653" s="57" t="s">
        <v>2142</v>
      </c>
      <c r="E653" s="57" t="s">
        <v>2143</v>
      </c>
      <c r="F653" s="71">
        <v>1.2E8</v>
      </c>
      <c r="G653" s="57" t="s">
        <v>251</v>
      </c>
      <c r="H653" s="59" t="s">
        <v>252</v>
      </c>
      <c r="I653" s="60" t="s">
        <v>468</v>
      </c>
      <c r="J653" s="61"/>
      <c r="K653" s="61"/>
      <c r="L653" s="42"/>
      <c r="M653" s="42"/>
      <c r="N653" s="42"/>
      <c r="O653" s="42"/>
      <c r="P653" s="42"/>
      <c r="Q653" s="42"/>
      <c r="R653" s="42"/>
      <c r="S653" s="42"/>
      <c r="T653" s="42"/>
      <c r="U653" s="42"/>
      <c r="V653" s="42"/>
      <c r="W653" s="42"/>
      <c r="X653" s="42"/>
      <c r="Y653" s="42"/>
      <c r="Z653" s="42"/>
    </row>
    <row r="654" ht="57.0" customHeight="1">
      <c r="A654" s="57" t="s">
        <v>247</v>
      </c>
      <c r="B654" s="57" t="s">
        <v>141</v>
      </c>
      <c r="C654" s="57" t="s">
        <v>2144</v>
      </c>
      <c r="D654" s="57" t="s">
        <v>2145</v>
      </c>
      <c r="E654" s="57" t="s">
        <v>2146</v>
      </c>
      <c r="F654" s="71">
        <v>1.5E8</v>
      </c>
      <c r="G654" s="57" t="s">
        <v>251</v>
      </c>
      <c r="H654" s="59" t="s">
        <v>252</v>
      </c>
      <c r="I654" s="60" t="s">
        <v>468</v>
      </c>
      <c r="J654" s="61"/>
      <c r="K654" s="61"/>
      <c r="L654" s="42"/>
      <c r="M654" s="42"/>
      <c r="N654" s="42"/>
      <c r="O654" s="42"/>
      <c r="P654" s="42"/>
      <c r="Q654" s="42"/>
      <c r="R654" s="42"/>
      <c r="S654" s="42"/>
      <c r="T654" s="42"/>
      <c r="U654" s="42"/>
      <c r="V654" s="42"/>
      <c r="W654" s="42"/>
      <c r="X654" s="42"/>
      <c r="Y654" s="42"/>
      <c r="Z654" s="42"/>
    </row>
    <row r="655" ht="57.0" customHeight="1">
      <c r="A655" s="57" t="s">
        <v>247</v>
      </c>
      <c r="B655" s="57" t="s">
        <v>141</v>
      </c>
      <c r="C655" s="57" t="s">
        <v>2147</v>
      </c>
      <c r="D655" s="57" t="s">
        <v>2148</v>
      </c>
      <c r="E655" s="57" t="s">
        <v>2149</v>
      </c>
      <c r="F655" s="71">
        <v>4.7E7</v>
      </c>
      <c r="G655" s="57" t="s">
        <v>251</v>
      </c>
      <c r="H655" s="59" t="s">
        <v>252</v>
      </c>
      <c r="I655" s="60" t="s">
        <v>468</v>
      </c>
      <c r="J655" s="61"/>
      <c r="K655" s="61"/>
      <c r="L655" s="42"/>
      <c r="M655" s="42"/>
      <c r="N655" s="42"/>
      <c r="O655" s="42"/>
      <c r="P655" s="42"/>
      <c r="Q655" s="42"/>
      <c r="R655" s="42"/>
      <c r="S655" s="42"/>
      <c r="T655" s="42"/>
      <c r="U655" s="42"/>
      <c r="V655" s="42"/>
      <c r="W655" s="42"/>
      <c r="X655" s="42"/>
      <c r="Y655" s="42"/>
      <c r="Z655" s="42"/>
    </row>
    <row r="656" ht="57.0" customHeight="1">
      <c r="A656" s="57" t="s">
        <v>247</v>
      </c>
      <c r="B656" s="57" t="s">
        <v>141</v>
      </c>
      <c r="C656" s="57" t="s">
        <v>2150</v>
      </c>
      <c r="D656" s="57" t="s">
        <v>2151</v>
      </c>
      <c r="E656" s="57" t="s">
        <v>2152</v>
      </c>
      <c r="F656" s="71">
        <v>6000000.0</v>
      </c>
      <c r="G656" s="57" t="s">
        <v>251</v>
      </c>
      <c r="H656" s="59" t="s">
        <v>252</v>
      </c>
      <c r="I656" s="60" t="s">
        <v>468</v>
      </c>
      <c r="J656" s="61"/>
      <c r="K656" s="61"/>
      <c r="L656" s="42"/>
      <c r="M656" s="42"/>
      <c r="N656" s="42"/>
      <c r="O656" s="42"/>
      <c r="P656" s="42"/>
      <c r="Q656" s="42"/>
      <c r="R656" s="42"/>
      <c r="S656" s="42"/>
      <c r="T656" s="42"/>
      <c r="U656" s="42"/>
      <c r="V656" s="42"/>
      <c r="W656" s="42"/>
      <c r="X656" s="42"/>
      <c r="Y656" s="42"/>
      <c r="Z656" s="42"/>
    </row>
    <row r="657" ht="57.0" customHeight="1">
      <c r="A657" s="57" t="s">
        <v>247</v>
      </c>
      <c r="B657" s="57" t="s">
        <v>141</v>
      </c>
      <c r="C657" s="57" t="s">
        <v>2153</v>
      </c>
      <c r="D657" s="57" t="s">
        <v>2154</v>
      </c>
      <c r="E657" s="57" t="s">
        <v>2155</v>
      </c>
      <c r="F657" s="71">
        <v>7700000.0</v>
      </c>
      <c r="G657" s="57" t="s">
        <v>251</v>
      </c>
      <c r="H657" s="59" t="s">
        <v>252</v>
      </c>
      <c r="I657" s="60" t="s">
        <v>468</v>
      </c>
      <c r="J657" s="61"/>
      <c r="K657" s="61"/>
      <c r="L657" s="42"/>
      <c r="M657" s="42"/>
      <c r="N657" s="42"/>
      <c r="O657" s="42"/>
      <c r="P657" s="42"/>
      <c r="Q657" s="42"/>
      <c r="R657" s="42"/>
      <c r="S657" s="42"/>
      <c r="T657" s="42"/>
      <c r="U657" s="42"/>
      <c r="V657" s="42"/>
      <c r="W657" s="42"/>
      <c r="X657" s="42"/>
      <c r="Y657" s="42"/>
      <c r="Z657" s="42"/>
    </row>
    <row r="658" ht="57.0" customHeight="1">
      <c r="A658" s="57" t="s">
        <v>247</v>
      </c>
      <c r="B658" s="57" t="s">
        <v>141</v>
      </c>
      <c r="C658" s="57" t="s">
        <v>2156</v>
      </c>
      <c r="D658" s="57" t="s">
        <v>2157</v>
      </c>
      <c r="E658" s="57" t="s">
        <v>2158</v>
      </c>
      <c r="F658" s="71">
        <v>1.2E7</v>
      </c>
      <c r="G658" s="57" t="s">
        <v>251</v>
      </c>
      <c r="H658" s="59" t="s">
        <v>252</v>
      </c>
      <c r="I658" s="60" t="s">
        <v>468</v>
      </c>
      <c r="J658" s="61"/>
      <c r="K658" s="61"/>
      <c r="L658" s="42"/>
      <c r="M658" s="42"/>
      <c r="N658" s="42"/>
      <c r="O658" s="42"/>
      <c r="P658" s="42"/>
      <c r="Q658" s="42"/>
      <c r="R658" s="42"/>
      <c r="S658" s="42"/>
      <c r="T658" s="42"/>
      <c r="U658" s="42"/>
      <c r="V658" s="42"/>
      <c r="W658" s="42"/>
      <c r="X658" s="42"/>
      <c r="Y658" s="42"/>
      <c r="Z658" s="42"/>
    </row>
    <row r="659" ht="57.0" customHeight="1">
      <c r="A659" s="57" t="s">
        <v>247</v>
      </c>
      <c r="B659" s="57" t="s">
        <v>141</v>
      </c>
      <c r="C659" s="57" t="s">
        <v>2159</v>
      </c>
      <c r="D659" s="57" t="s">
        <v>2160</v>
      </c>
      <c r="E659" s="57" t="s">
        <v>2161</v>
      </c>
      <c r="F659" s="71">
        <v>950000.0</v>
      </c>
      <c r="G659" s="57" t="s">
        <v>251</v>
      </c>
      <c r="H659" s="59" t="s">
        <v>252</v>
      </c>
      <c r="I659" s="60" t="s">
        <v>468</v>
      </c>
      <c r="J659" s="61"/>
      <c r="K659" s="61"/>
      <c r="L659" s="42"/>
      <c r="M659" s="42"/>
      <c r="N659" s="42"/>
      <c r="O659" s="42"/>
      <c r="P659" s="42"/>
      <c r="Q659" s="42"/>
      <c r="R659" s="42"/>
      <c r="S659" s="42"/>
      <c r="T659" s="42"/>
      <c r="U659" s="42"/>
      <c r="V659" s="42"/>
      <c r="W659" s="42"/>
      <c r="X659" s="42"/>
      <c r="Y659" s="42"/>
      <c r="Z659" s="42"/>
    </row>
    <row r="660" ht="57.0" customHeight="1">
      <c r="A660" s="57" t="s">
        <v>247</v>
      </c>
      <c r="B660" s="57" t="s">
        <v>141</v>
      </c>
      <c r="C660" s="57" t="s">
        <v>2162</v>
      </c>
      <c r="D660" s="57" t="s">
        <v>2163</v>
      </c>
      <c r="E660" s="57" t="s">
        <v>2164</v>
      </c>
      <c r="F660" s="71">
        <v>950000.0</v>
      </c>
      <c r="G660" s="57" t="s">
        <v>251</v>
      </c>
      <c r="H660" s="59" t="s">
        <v>252</v>
      </c>
      <c r="I660" s="60" t="s">
        <v>468</v>
      </c>
      <c r="J660" s="61"/>
      <c r="K660" s="61"/>
      <c r="L660" s="42"/>
      <c r="M660" s="42"/>
      <c r="N660" s="42"/>
      <c r="O660" s="42"/>
      <c r="P660" s="42"/>
      <c r="Q660" s="42"/>
      <c r="R660" s="42"/>
      <c r="S660" s="42"/>
      <c r="T660" s="42"/>
      <c r="U660" s="42"/>
      <c r="V660" s="42"/>
      <c r="W660" s="42"/>
      <c r="X660" s="42"/>
      <c r="Y660" s="42"/>
      <c r="Z660" s="42"/>
    </row>
    <row r="661" ht="57.0" customHeight="1">
      <c r="A661" s="57" t="s">
        <v>247</v>
      </c>
      <c r="B661" s="57" t="s">
        <v>141</v>
      </c>
      <c r="C661" s="57" t="s">
        <v>2165</v>
      </c>
      <c r="D661" s="57" t="s">
        <v>2166</v>
      </c>
      <c r="E661" s="57" t="s">
        <v>2167</v>
      </c>
      <c r="F661" s="71">
        <v>5.0E7</v>
      </c>
      <c r="G661" s="57" t="s">
        <v>251</v>
      </c>
      <c r="H661" s="59" t="s">
        <v>252</v>
      </c>
      <c r="I661" s="60" t="s">
        <v>468</v>
      </c>
      <c r="J661" s="61"/>
      <c r="K661" s="61"/>
      <c r="L661" s="42"/>
      <c r="M661" s="42"/>
      <c r="N661" s="42"/>
      <c r="O661" s="42"/>
      <c r="P661" s="42"/>
      <c r="Q661" s="42"/>
      <c r="R661" s="42"/>
      <c r="S661" s="42"/>
      <c r="T661" s="42"/>
      <c r="U661" s="42"/>
      <c r="V661" s="42"/>
      <c r="W661" s="42"/>
      <c r="X661" s="42"/>
      <c r="Y661" s="42"/>
      <c r="Z661" s="42"/>
    </row>
    <row r="662" ht="57.0" customHeight="1">
      <c r="A662" s="57" t="s">
        <v>247</v>
      </c>
      <c r="B662" s="57" t="s">
        <v>141</v>
      </c>
      <c r="C662" s="57" t="s">
        <v>2168</v>
      </c>
      <c r="D662" s="57" t="s">
        <v>2169</v>
      </c>
      <c r="E662" s="57" t="s">
        <v>2170</v>
      </c>
      <c r="F662" s="71">
        <v>4.5E7</v>
      </c>
      <c r="G662" s="57" t="s">
        <v>251</v>
      </c>
      <c r="H662" s="59" t="s">
        <v>252</v>
      </c>
      <c r="I662" s="60" t="s">
        <v>468</v>
      </c>
      <c r="J662" s="61"/>
      <c r="K662" s="61"/>
      <c r="L662" s="42"/>
      <c r="M662" s="42"/>
      <c r="N662" s="42"/>
      <c r="O662" s="42"/>
      <c r="P662" s="42"/>
      <c r="Q662" s="42"/>
      <c r="R662" s="42"/>
      <c r="S662" s="42"/>
      <c r="T662" s="42"/>
      <c r="U662" s="42"/>
      <c r="V662" s="42"/>
      <c r="W662" s="42"/>
      <c r="X662" s="42"/>
      <c r="Y662" s="42"/>
      <c r="Z662" s="42"/>
    </row>
    <row r="663" ht="28.5" customHeight="1">
      <c r="A663" s="57" t="s">
        <v>247</v>
      </c>
      <c r="B663" s="57" t="s">
        <v>141</v>
      </c>
      <c r="C663" s="57" t="s">
        <v>2171</v>
      </c>
      <c r="D663" s="57" t="s">
        <v>2172</v>
      </c>
      <c r="E663" s="57" t="s">
        <v>2173</v>
      </c>
      <c r="F663" s="71">
        <v>2.0E7</v>
      </c>
      <c r="G663" s="57" t="s">
        <v>251</v>
      </c>
      <c r="H663" s="59" t="s">
        <v>252</v>
      </c>
      <c r="I663" s="60" t="s">
        <v>468</v>
      </c>
      <c r="J663" s="61"/>
      <c r="K663" s="61"/>
      <c r="L663" s="42"/>
      <c r="M663" s="42"/>
      <c r="N663" s="42"/>
      <c r="O663" s="42"/>
      <c r="P663" s="42"/>
      <c r="Q663" s="42"/>
      <c r="R663" s="42"/>
      <c r="S663" s="42"/>
      <c r="T663" s="42"/>
      <c r="U663" s="42"/>
      <c r="V663" s="42"/>
      <c r="W663" s="42"/>
      <c r="X663" s="42"/>
      <c r="Y663" s="42"/>
      <c r="Z663" s="42"/>
    </row>
    <row r="664" ht="85.5" customHeight="1">
      <c r="A664" s="57" t="s">
        <v>247</v>
      </c>
      <c r="B664" s="57" t="s">
        <v>141</v>
      </c>
      <c r="C664" s="57" t="s">
        <v>2174</v>
      </c>
      <c r="D664" s="57" t="s">
        <v>2175</v>
      </c>
      <c r="E664" s="57" t="s">
        <v>2176</v>
      </c>
      <c r="F664" s="58">
        <v>4.0E7</v>
      </c>
      <c r="G664" s="57" t="s">
        <v>251</v>
      </c>
      <c r="H664" s="59" t="s">
        <v>252</v>
      </c>
      <c r="I664" s="59" t="s">
        <v>472</v>
      </c>
      <c r="J664" s="61"/>
      <c r="K664" s="61"/>
      <c r="L664" s="42"/>
      <c r="M664" s="42"/>
      <c r="N664" s="42"/>
      <c r="O664" s="42"/>
      <c r="P664" s="42"/>
      <c r="Q664" s="42"/>
      <c r="R664" s="42"/>
      <c r="S664" s="42"/>
      <c r="T664" s="42"/>
      <c r="U664" s="42"/>
      <c r="V664" s="42"/>
      <c r="W664" s="42"/>
      <c r="X664" s="42"/>
      <c r="Y664" s="42"/>
      <c r="Z664" s="42"/>
    </row>
    <row r="665" ht="30.75" customHeight="1">
      <c r="A665" s="57" t="s">
        <v>247</v>
      </c>
      <c r="B665" s="57" t="s">
        <v>141</v>
      </c>
      <c r="C665" s="57" t="s">
        <v>2177</v>
      </c>
      <c r="D665" s="57" t="s">
        <v>2178</v>
      </c>
      <c r="E665" s="57" t="s">
        <v>2179</v>
      </c>
      <c r="F665" s="58">
        <v>1.5E7</v>
      </c>
      <c r="G665" s="57" t="s">
        <v>251</v>
      </c>
      <c r="H665" s="59" t="s">
        <v>252</v>
      </c>
      <c r="I665" s="59" t="s">
        <v>472</v>
      </c>
      <c r="J665" s="61"/>
      <c r="K665" s="61"/>
      <c r="L665" s="42"/>
      <c r="M665" s="42"/>
      <c r="N665" s="42"/>
      <c r="O665" s="42"/>
      <c r="P665" s="42"/>
      <c r="Q665" s="42"/>
      <c r="R665" s="42"/>
      <c r="S665" s="42"/>
      <c r="T665" s="42"/>
      <c r="U665" s="42"/>
      <c r="V665" s="42"/>
      <c r="W665" s="42"/>
      <c r="X665" s="42"/>
      <c r="Y665" s="42"/>
      <c r="Z665" s="42"/>
    </row>
    <row r="666" ht="30.75" customHeight="1">
      <c r="A666" s="57" t="s">
        <v>247</v>
      </c>
      <c r="B666" s="57" t="s">
        <v>141</v>
      </c>
      <c r="C666" s="57" t="s">
        <v>2180</v>
      </c>
      <c r="D666" s="57" t="s">
        <v>2181</v>
      </c>
      <c r="E666" s="57" t="s">
        <v>2182</v>
      </c>
      <c r="F666" s="58">
        <v>500000.0</v>
      </c>
      <c r="G666" s="57" t="s">
        <v>251</v>
      </c>
      <c r="H666" s="59" t="s">
        <v>252</v>
      </c>
      <c r="I666" s="59" t="s">
        <v>472</v>
      </c>
      <c r="J666" s="61"/>
      <c r="K666" s="61"/>
      <c r="L666" s="42"/>
      <c r="M666" s="42"/>
      <c r="N666" s="42"/>
      <c r="O666" s="42"/>
      <c r="P666" s="42"/>
      <c r="Q666" s="42"/>
      <c r="R666" s="42"/>
      <c r="S666" s="42"/>
      <c r="T666" s="42"/>
      <c r="U666" s="42"/>
      <c r="V666" s="42"/>
      <c r="W666" s="42"/>
      <c r="X666" s="42"/>
      <c r="Y666" s="42"/>
      <c r="Z666" s="42"/>
    </row>
    <row r="667" ht="30.75" customHeight="1">
      <c r="A667" s="57" t="s">
        <v>247</v>
      </c>
      <c r="B667" s="57" t="s">
        <v>141</v>
      </c>
      <c r="C667" s="57" t="s">
        <v>2183</v>
      </c>
      <c r="D667" s="57" t="s">
        <v>2184</v>
      </c>
      <c r="E667" s="57" t="s">
        <v>2185</v>
      </c>
      <c r="F667" s="58">
        <v>1.5E8</v>
      </c>
      <c r="G667" s="57" t="s">
        <v>251</v>
      </c>
      <c r="H667" s="59" t="s">
        <v>252</v>
      </c>
      <c r="I667" s="59" t="s">
        <v>472</v>
      </c>
      <c r="J667" s="61"/>
      <c r="K667" s="61"/>
      <c r="L667" s="42"/>
      <c r="M667" s="42"/>
      <c r="N667" s="42"/>
      <c r="O667" s="42"/>
      <c r="P667" s="42"/>
      <c r="Q667" s="42"/>
      <c r="R667" s="42"/>
      <c r="S667" s="42"/>
      <c r="T667" s="42"/>
      <c r="U667" s="42"/>
      <c r="V667" s="42"/>
      <c r="W667" s="42"/>
      <c r="X667" s="42"/>
      <c r="Y667" s="42"/>
      <c r="Z667" s="42"/>
    </row>
    <row r="668" ht="30.75" customHeight="1">
      <c r="A668" s="57" t="s">
        <v>247</v>
      </c>
      <c r="B668" s="57" t="s">
        <v>141</v>
      </c>
      <c r="C668" s="57" t="s">
        <v>2186</v>
      </c>
      <c r="D668" s="57" t="s">
        <v>2187</v>
      </c>
      <c r="E668" s="57" t="s">
        <v>2188</v>
      </c>
      <c r="F668" s="58">
        <v>7000000.0</v>
      </c>
      <c r="G668" s="57" t="s">
        <v>251</v>
      </c>
      <c r="H668" s="59" t="s">
        <v>252</v>
      </c>
      <c r="I668" s="59" t="s">
        <v>472</v>
      </c>
      <c r="J668" s="61"/>
      <c r="K668" s="61"/>
      <c r="L668" s="42"/>
      <c r="M668" s="42"/>
      <c r="N668" s="42"/>
      <c r="O668" s="42"/>
      <c r="P668" s="42"/>
      <c r="Q668" s="42"/>
      <c r="R668" s="42"/>
      <c r="S668" s="42"/>
      <c r="T668" s="42"/>
      <c r="U668" s="42"/>
      <c r="V668" s="42"/>
      <c r="W668" s="42"/>
      <c r="X668" s="42"/>
      <c r="Y668" s="42"/>
      <c r="Z668" s="42"/>
    </row>
    <row r="669" ht="30.75" customHeight="1">
      <c r="A669" s="57" t="s">
        <v>247</v>
      </c>
      <c r="B669" s="57" t="s">
        <v>141</v>
      </c>
      <c r="C669" s="57" t="s">
        <v>2189</v>
      </c>
      <c r="D669" s="57" t="s">
        <v>2190</v>
      </c>
      <c r="E669" s="57" t="s">
        <v>2191</v>
      </c>
      <c r="F669" s="58">
        <v>2000000.0</v>
      </c>
      <c r="G669" s="57" t="s">
        <v>251</v>
      </c>
      <c r="H669" s="59" t="s">
        <v>252</v>
      </c>
      <c r="I669" s="59" t="s">
        <v>472</v>
      </c>
      <c r="J669" s="61"/>
      <c r="K669" s="61"/>
      <c r="L669" s="42"/>
      <c r="M669" s="42"/>
      <c r="N669" s="42"/>
      <c r="O669" s="42"/>
      <c r="P669" s="42"/>
      <c r="Q669" s="42"/>
      <c r="R669" s="42"/>
      <c r="S669" s="42"/>
      <c r="T669" s="42"/>
      <c r="U669" s="42"/>
      <c r="V669" s="42"/>
      <c r="W669" s="42"/>
      <c r="X669" s="42"/>
      <c r="Y669" s="42"/>
      <c r="Z669" s="42"/>
    </row>
    <row r="670" ht="30.75" customHeight="1">
      <c r="A670" s="57" t="s">
        <v>247</v>
      </c>
      <c r="B670" s="57" t="s">
        <v>141</v>
      </c>
      <c r="C670" s="57" t="s">
        <v>2192</v>
      </c>
      <c r="D670" s="57" t="s">
        <v>2193</v>
      </c>
      <c r="E670" s="57" t="s">
        <v>2194</v>
      </c>
      <c r="F670" s="58">
        <v>1.0E7</v>
      </c>
      <c r="G670" s="57" t="s">
        <v>251</v>
      </c>
      <c r="H670" s="59" t="s">
        <v>252</v>
      </c>
      <c r="I670" s="59" t="s">
        <v>472</v>
      </c>
      <c r="J670" s="61"/>
      <c r="K670" s="61"/>
      <c r="L670" s="42"/>
      <c r="M670" s="42"/>
      <c r="N670" s="42"/>
      <c r="O670" s="42"/>
      <c r="P670" s="42"/>
      <c r="Q670" s="42"/>
      <c r="R670" s="42"/>
      <c r="S670" s="42"/>
      <c r="T670" s="42"/>
      <c r="U670" s="42"/>
      <c r="V670" s="42"/>
      <c r="W670" s="42"/>
      <c r="X670" s="42"/>
      <c r="Y670" s="42"/>
      <c r="Z670" s="42"/>
    </row>
    <row r="671" ht="30.75" customHeight="1">
      <c r="A671" s="57" t="s">
        <v>247</v>
      </c>
      <c r="B671" s="57" t="s">
        <v>141</v>
      </c>
      <c r="C671" s="57" t="s">
        <v>2195</v>
      </c>
      <c r="D671" s="57" t="s">
        <v>2196</v>
      </c>
      <c r="E671" s="57" t="s">
        <v>2197</v>
      </c>
      <c r="F671" s="58">
        <v>3.0E7</v>
      </c>
      <c r="G671" s="57" t="s">
        <v>251</v>
      </c>
      <c r="H671" s="59" t="s">
        <v>252</v>
      </c>
      <c r="I671" s="59" t="s">
        <v>635</v>
      </c>
      <c r="J671" s="61"/>
      <c r="K671" s="61"/>
      <c r="L671" s="42"/>
      <c r="M671" s="42"/>
      <c r="N671" s="42"/>
      <c r="O671" s="42"/>
      <c r="P671" s="42"/>
      <c r="Q671" s="42"/>
      <c r="R671" s="42"/>
      <c r="S671" s="42"/>
      <c r="T671" s="42"/>
      <c r="U671" s="42"/>
      <c r="V671" s="42"/>
      <c r="W671" s="42"/>
      <c r="X671" s="42"/>
      <c r="Y671" s="42"/>
      <c r="Z671" s="42"/>
    </row>
    <row r="672" ht="30.75" customHeight="1">
      <c r="A672" s="57" t="s">
        <v>247</v>
      </c>
      <c r="B672" s="57" t="s">
        <v>141</v>
      </c>
      <c r="C672" s="57" t="s">
        <v>2198</v>
      </c>
      <c r="D672" s="57" t="s">
        <v>2199</v>
      </c>
      <c r="E672" s="57" t="s">
        <v>2200</v>
      </c>
      <c r="F672" s="58">
        <v>5.0E7</v>
      </c>
      <c r="G672" s="57" t="s">
        <v>251</v>
      </c>
      <c r="H672" s="59" t="s">
        <v>252</v>
      </c>
      <c r="I672" s="59" t="s">
        <v>635</v>
      </c>
      <c r="J672" s="61"/>
      <c r="K672" s="61"/>
      <c r="L672" s="42"/>
      <c r="M672" s="42"/>
      <c r="N672" s="42"/>
      <c r="O672" s="42"/>
      <c r="P672" s="42"/>
      <c r="Q672" s="42"/>
      <c r="R672" s="42"/>
      <c r="S672" s="42"/>
      <c r="T672" s="42"/>
      <c r="U672" s="42"/>
      <c r="V672" s="42"/>
      <c r="W672" s="42"/>
      <c r="X672" s="42"/>
      <c r="Y672" s="42"/>
      <c r="Z672" s="42"/>
    </row>
    <row r="673" ht="30.75" customHeight="1">
      <c r="A673" s="57" t="s">
        <v>247</v>
      </c>
      <c r="B673" s="57" t="s">
        <v>141</v>
      </c>
      <c r="C673" s="57" t="s">
        <v>2201</v>
      </c>
      <c r="D673" s="57" t="s">
        <v>2202</v>
      </c>
      <c r="E673" s="57" t="s">
        <v>2203</v>
      </c>
      <c r="F673" s="58">
        <v>1.5E8</v>
      </c>
      <c r="G673" s="57" t="s">
        <v>251</v>
      </c>
      <c r="H673" s="59" t="s">
        <v>252</v>
      </c>
      <c r="I673" s="59" t="s">
        <v>635</v>
      </c>
      <c r="J673" s="61"/>
      <c r="K673" s="61"/>
      <c r="L673" s="42"/>
      <c r="M673" s="42"/>
      <c r="N673" s="42"/>
      <c r="O673" s="42"/>
      <c r="P673" s="42"/>
      <c r="Q673" s="42"/>
      <c r="R673" s="42"/>
      <c r="S673" s="42"/>
      <c r="T673" s="42"/>
      <c r="U673" s="42"/>
      <c r="V673" s="42"/>
      <c r="W673" s="42"/>
      <c r="X673" s="42"/>
      <c r="Y673" s="42"/>
      <c r="Z673" s="42"/>
    </row>
    <row r="674" ht="30.75" customHeight="1">
      <c r="A674" s="52" t="s">
        <v>247</v>
      </c>
      <c r="B674" s="52" t="s">
        <v>144</v>
      </c>
      <c r="C674" s="52" t="s">
        <v>145</v>
      </c>
      <c r="D674" s="52" t="s">
        <v>146</v>
      </c>
      <c r="E674" s="52"/>
      <c r="F674" s="62"/>
      <c r="G674" s="52"/>
      <c r="H674" s="63"/>
      <c r="I674" s="63"/>
      <c r="J674" s="54"/>
      <c r="K674" s="54"/>
      <c r="L674" s="56"/>
      <c r="M674" s="56"/>
      <c r="N674" s="56"/>
      <c r="O674" s="56"/>
      <c r="P674" s="56"/>
      <c r="Q674" s="56"/>
      <c r="R674" s="56"/>
      <c r="S674" s="56"/>
      <c r="T674" s="56"/>
      <c r="U674" s="56"/>
      <c r="V674" s="56"/>
      <c r="W674" s="56"/>
      <c r="X674" s="56"/>
      <c r="Y674" s="56"/>
      <c r="Z674" s="56"/>
    </row>
    <row r="675" ht="57.0" customHeight="1">
      <c r="A675" s="57" t="s">
        <v>247</v>
      </c>
      <c r="B675" s="57" t="s">
        <v>144</v>
      </c>
      <c r="C675" s="57" t="s">
        <v>2204</v>
      </c>
      <c r="D675" s="57" t="s">
        <v>2205</v>
      </c>
      <c r="E675" s="57" t="s">
        <v>2206</v>
      </c>
      <c r="F675" s="58">
        <v>1200000.0</v>
      </c>
      <c r="G675" s="57" t="s">
        <v>251</v>
      </c>
      <c r="H675" s="59" t="s">
        <v>252</v>
      </c>
      <c r="I675" s="60" t="s">
        <v>253</v>
      </c>
      <c r="J675" s="61"/>
      <c r="K675" s="61"/>
      <c r="L675" s="42"/>
      <c r="M675" s="42"/>
      <c r="N675" s="42"/>
      <c r="O675" s="42"/>
      <c r="P675" s="42"/>
      <c r="Q675" s="42"/>
      <c r="R675" s="42"/>
      <c r="S675" s="42"/>
      <c r="T675" s="42"/>
      <c r="U675" s="42"/>
      <c r="V675" s="42"/>
      <c r="W675" s="42"/>
      <c r="X675" s="42"/>
      <c r="Y675" s="42"/>
      <c r="Z675" s="42"/>
    </row>
    <row r="676" ht="57.0" customHeight="1">
      <c r="A676" s="57" t="s">
        <v>247</v>
      </c>
      <c r="B676" s="57" t="s">
        <v>144</v>
      </c>
      <c r="C676" s="57" t="s">
        <v>2207</v>
      </c>
      <c r="D676" s="57" t="s">
        <v>2208</v>
      </c>
      <c r="E676" s="57" t="s">
        <v>2209</v>
      </c>
      <c r="F676" s="58">
        <v>1700000.0</v>
      </c>
      <c r="G676" s="57" t="s">
        <v>251</v>
      </c>
      <c r="H676" s="59" t="s">
        <v>252</v>
      </c>
      <c r="I676" s="60" t="s">
        <v>253</v>
      </c>
      <c r="J676" s="61"/>
      <c r="K676" s="61"/>
      <c r="L676" s="42"/>
      <c r="M676" s="42"/>
      <c r="N676" s="42"/>
      <c r="O676" s="42"/>
      <c r="P676" s="42"/>
      <c r="Q676" s="42"/>
      <c r="R676" s="42"/>
      <c r="S676" s="42"/>
      <c r="T676" s="42"/>
      <c r="U676" s="42"/>
      <c r="V676" s="42"/>
      <c r="W676" s="42"/>
      <c r="X676" s="42"/>
      <c r="Y676" s="42"/>
      <c r="Z676" s="42"/>
    </row>
    <row r="677" ht="57.0" customHeight="1">
      <c r="A677" s="57" t="s">
        <v>247</v>
      </c>
      <c r="B677" s="57" t="s">
        <v>144</v>
      </c>
      <c r="C677" s="57" t="s">
        <v>2210</v>
      </c>
      <c r="D677" s="57" t="s">
        <v>2211</v>
      </c>
      <c r="E677" s="57" t="s">
        <v>2212</v>
      </c>
      <c r="F677" s="58">
        <v>2200000.0</v>
      </c>
      <c r="G677" s="57" t="s">
        <v>251</v>
      </c>
      <c r="H677" s="59" t="s">
        <v>252</v>
      </c>
      <c r="I677" s="60" t="s">
        <v>253</v>
      </c>
      <c r="J677" s="61"/>
      <c r="K677" s="61"/>
      <c r="L677" s="42"/>
      <c r="M677" s="42"/>
      <c r="N677" s="42"/>
      <c r="O677" s="42"/>
      <c r="P677" s="42"/>
      <c r="Q677" s="42"/>
      <c r="R677" s="42"/>
      <c r="S677" s="42"/>
      <c r="T677" s="42"/>
      <c r="U677" s="42"/>
      <c r="V677" s="42"/>
      <c r="W677" s="42"/>
      <c r="X677" s="42"/>
      <c r="Y677" s="42"/>
      <c r="Z677" s="42"/>
    </row>
    <row r="678" ht="57.0" customHeight="1">
      <c r="A678" s="57" t="s">
        <v>247</v>
      </c>
      <c r="B678" s="57" t="s">
        <v>144</v>
      </c>
      <c r="C678" s="57" t="s">
        <v>2213</v>
      </c>
      <c r="D678" s="57" t="s">
        <v>2214</v>
      </c>
      <c r="E678" s="57" t="s">
        <v>2215</v>
      </c>
      <c r="F678" s="58">
        <v>350000.0</v>
      </c>
      <c r="G678" s="57" t="s">
        <v>251</v>
      </c>
      <c r="H678" s="59" t="s">
        <v>252</v>
      </c>
      <c r="I678" s="60" t="s">
        <v>253</v>
      </c>
      <c r="J678" s="61"/>
      <c r="K678" s="61"/>
      <c r="L678" s="42"/>
      <c r="M678" s="42"/>
      <c r="N678" s="42"/>
      <c r="O678" s="42"/>
      <c r="P678" s="42"/>
      <c r="Q678" s="42"/>
      <c r="R678" s="42"/>
      <c r="S678" s="42"/>
      <c r="T678" s="42"/>
      <c r="U678" s="42"/>
      <c r="V678" s="42"/>
      <c r="W678" s="42"/>
      <c r="X678" s="42"/>
      <c r="Y678" s="42"/>
      <c r="Z678" s="42"/>
    </row>
    <row r="679" ht="57.0" customHeight="1">
      <c r="A679" s="57" t="s">
        <v>247</v>
      </c>
      <c r="B679" s="57" t="s">
        <v>144</v>
      </c>
      <c r="C679" s="57" t="s">
        <v>2216</v>
      </c>
      <c r="D679" s="57" t="s">
        <v>2217</v>
      </c>
      <c r="E679" s="57" t="s">
        <v>2218</v>
      </c>
      <c r="F679" s="69">
        <v>500000.0</v>
      </c>
      <c r="G679" s="59" t="s">
        <v>251</v>
      </c>
      <c r="H679" s="59" t="s">
        <v>252</v>
      </c>
      <c r="I679" s="60" t="s">
        <v>468</v>
      </c>
      <c r="J679" s="61"/>
      <c r="K679" s="61"/>
      <c r="L679" s="42"/>
      <c r="M679" s="42"/>
      <c r="N679" s="42"/>
      <c r="O679" s="42"/>
      <c r="P679" s="42"/>
      <c r="Q679" s="42"/>
      <c r="R679" s="42"/>
      <c r="S679" s="42"/>
      <c r="T679" s="42"/>
      <c r="U679" s="42"/>
      <c r="V679" s="42"/>
      <c r="W679" s="42"/>
      <c r="X679" s="42"/>
      <c r="Y679" s="42"/>
      <c r="Z679" s="42"/>
    </row>
    <row r="680" ht="57.0" customHeight="1">
      <c r="A680" s="57" t="s">
        <v>247</v>
      </c>
      <c r="B680" s="57" t="s">
        <v>144</v>
      </c>
      <c r="C680" s="57" t="s">
        <v>2219</v>
      </c>
      <c r="D680" s="57" t="s">
        <v>2220</v>
      </c>
      <c r="E680" s="57" t="s">
        <v>2221</v>
      </c>
      <c r="F680" s="69">
        <v>8000000.0</v>
      </c>
      <c r="G680" s="59" t="s">
        <v>251</v>
      </c>
      <c r="H680" s="59" t="s">
        <v>252</v>
      </c>
      <c r="I680" s="60" t="s">
        <v>468</v>
      </c>
      <c r="J680" s="61"/>
      <c r="K680" s="61"/>
      <c r="L680" s="42"/>
      <c r="M680" s="42"/>
      <c r="N680" s="42"/>
      <c r="O680" s="42"/>
      <c r="P680" s="42"/>
      <c r="Q680" s="42"/>
      <c r="R680" s="42"/>
      <c r="S680" s="42"/>
      <c r="T680" s="42"/>
      <c r="U680" s="42"/>
      <c r="V680" s="42"/>
      <c r="W680" s="42"/>
      <c r="X680" s="42"/>
      <c r="Y680" s="42"/>
      <c r="Z680" s="42"/>
    </row>
    <row r="681" ht="30.75" customHeight="1">
      <c r="A681" s="52" t="s">
        <v>247</v>
      </c>
      <c r="B681" s="52" t="s">
        <v>147</v>
      </c>
      <c r="C681" s="52" t="s">
        <v>148</v>
      </c>
      <c r="D681" s="52" t="s">
        <v>2222</v>
      </c>
      <c r="E681" s="52"/>
      <c r="F681" s="62"/>
      <c r="G681" s="52"/>
      <c r="H681" s="63"/>
      <c r="I681" s="63"/>
      <c r="J681" s="54"/>
      <c r="K681" s="54"/>
      <c r="L681" s="56"/>
      <c r="M681" s="56"/>
      <c r="N681" s="56"/>
      <c r="O681" s="56"/>
      <c r="P681" s="56"/>
      <c r="Q681" s="56"/>
      <c r="R681" s="56"/>
      <c r="S681" s="56"/>
      <c r="T681" s="56"/>
      <c r="U681" s="56"/>
      <c r="V681" s="56"/>
      <c r="W681" s="56"/>
      <c r="X681" s="56"/>
      <c r="Y681" s="56"/>
      <c r="Z681" s="56"/>
    </row>
    <row r="682" ht="57.0" customHeight="1">
      <c r="A682" s="57" t="s">
        <v>247</v>
      </c>
      <c r="B682" s="57" t="s">
        <v>147</v>
      </c>
      <c r="C682" s="57" t="s">
        <v>2223</v>
      </c>
      <c r="D682" s="57" t="s">
        <v>2224</v>
      </c>
      <c r="E682" s="57" t="s">
        <v>2225</v>
      </c>
      <c r="F682" s="58">
        <v>1500000.0</v>
      </c>
      <c r="G682" s="57" t="s">
        <v>251</v>
      </c>
      <c r="H682" s="59" t="s">
        <v>252</v>
      </c>
      <c r="I682" s="60" t="s">
        <v>253</v>
      </c>
      <c r="J682" s="61"/>
      <c r="K682" s="61"/>
      <c r="L682" s="42"/>
      <c r="M682" s="42"/>
      <c r="N682" s="42"/>
      <c r="O682" s="42"/>
      <c r="P682" s="42"/>
      <c r="Q682" s="42"/>
      <c r="R682" s="42"/>
      <c r="S682" s="42"/>
      <c r="T682" s="42"/>
      <c r="U682" s="42"/>
      <c r="V682" s="42"/>
      <c r="W682" s="42"/>
      <c r="X682" s="42"/>
      <c r="Y682" s="42"/>
      <c r="Z682" s="42"/>
    </row>
    <row r="683" ht="57.0" customHeight="1">
      <c r="A683" s="57" t="s">
        <v>247</v>
      </c>
      <c r="B683" s="57" t="s">
        <v>147</v>
      </c>
      <c r="C683" s="57" t="s">
        <v>2226</v>
      </c>
      <c r="D683" s="57" t="s">
        <v>2227</v>
      </c>
      <c r="E683" s="57" t="s">
        <v>2228</v>
      </c>
      <c r="F683" s="58">
        <v>1700000.0</v>
      </c>
      <c r="G683" s="57" t="s">
        <v>467</v>
      </c>
      <c r="H683" s="59" t="s">
        <v>252</v>
      </c>
      <c r="I683" s="60" t="s">
        <v>472</v>
      </c>
      <c r="J683" s="61"/>
      <c r="K683" s="61"/>
      <c r="L683" s="42"/>
      <c r="M683" s="42"/>
      <c r="N683" s="42"/>
      <c r="O683" s="42"/>
      <c r="P683" s="42"/>
      <c r="Q683" s="42"/>
      <c r="R683" s="42"/>
      <c r="S683" s="42"/>
      <c r="T683" s="42"/>
      <c r="U683" s="42"/>
      <c r="V683" s="42"/>
      <c r="W683" s="42"/>
      <c r="X683" s="42"/>
      <c r="Y683" s="42"/>
      <c r="Z683" s="42"/>
    </row>
    <row r="684" ht="57.0" customHeight="1">
      <c r="A684" s="57" t="s">
        <v>247</v>
      </c>
      <c r="B684" s="57" t="s">
        <v>147</v>
      </c>
      <c r="C684" s="57" t="s">
        <v>2229</v>
      </c>
      <c r="D684" s="57" t="s">
        <v>2230</v>
      </c>
      <c r="E684" s="57" t="s">
        <v>2231</v>
      </c>
      <c r="F684" s="58">
        <v>1000000.0</v>
      </c>
      <c r="G684" s="57" t="s">
        <v>467</v>
      </c>
      <c r="H684" s="59" t="s">
        <v>252</v>
      </c>
      <c r="I684" s="60" t="s">
        <v>253</v>
      </c>
      <c r="J684" s="61"/>
      <c r="K684" s="61"/>
      <c r="L684" s="42"/>
      <c r="M684" s="42"/>
      <c r="N684" s="42"/>
      <c r="O684" s="42"/>
      <c r="P684" s="42"/>
      <c r="Q684" s="42"/>
      <c r="R684" s="42"/>
      <c r="S684" s="42"/>
      <c r="T684" s="42"/>
      <c r="U684" s="42"/>
      <c r="V684" s="42"/>
      <c r="W684" s="42"/>
      <c r="X684" s="42"/>
      <c r="Y684" s="42"/>
      <c r="Z684" s="42"/>
    </row>
    <row r="685" ht="57.0" customHeight="1">
      <c r="A685" s="57" t="s">
        <v>247</v>
      </c>
      <c r="B685" s="57" t="s">
        <v>147</v>
      </c>
      <c r="C685" s="57" t="s">
        <v>2232</v>
      </c>
      <c r="D685" s="57" t="s">
        <v>2233</v>
      </c>
      <c r="E685" s="57" t="s">
        <v>2234</v>
      </c>
      <c r="F685" s="58">
        <v>1500000.0</v>
      </c>
      <c r="G685" s="57" t="s">
        <v>467</v>
      </c>
      <c r="H685" s="59" t="s">
        <v>252</v>
      </c>
      <c r="I685" s="60" t="s">
        <v>472</v>
      </c>
      <c r="J685" s="61"/>
      <c r="K685" s="61"/>
      <c r="L685" s="42"/>
      <c r="M685" s="42"/>
      <c r="N685" s="42"/>
      <c r="O685" s="42"/>
      <c r="P685" s="42"/>
      <c r="Q685" s="42"/>
      <c r="R685" s="42"/>
      <c r="S685" s="42"/>
      <c r="T685" s="42"/>
      <c r="U685" s="42"/>
      <c r="V685" s="42"/>
      <c r="W685" s="42"/>
      <c r="X685" s="42"/>
      <c r="Y685" s="42"/>
      <c r="Z685" s="42"/>
    </row>
    <row r="686" ht="57.0" customHeight="1">
      <c r="A686" s="57" t="s">
        <v>247</v>
      </c>
      <c r="B686" s="57" t="s">
        <v>147</v>
      </c>
      <c r="C686" s="57" t="s">
        <v>2235</v>
      </c>
      <c r="D686" s="57" t="s">
        <v>2236</v>
      </c>
      <c r="E686" s="57" t="s">
        <v>2237</v>
      </c>
      <c r="F686" s="58">
        <v>800000.0</v>
      </c>
      <c r="G686" s="57" t="s">
        <v>467</v>
      </c>
      <c r="H686" s="59" t="s">
        <v>252</v>
      </c>
      <c r="I686" s="60" t="s">
        <v>472</v>
      </c>
      <c r="J686" s="61"/>
      <c r="K686" s="61"/>
      <c r="L686" s="42"/>
      <c r="M686" s="42"/>
      <c r="N686" s="42"/>
      <c r="O686" s="42"/>
      <c r="P686" s="42"/>
      <c r="Q686" s="42"/>
      <c r="R686" s="42"/>
      <c r="S686" s="42"/>
      <c r="T686" s="42"/>
      <c r="U686" s="42"/>
      <c r="V686" s="42"/>
      <c r="W686" s="42"/>
      <c r="X686" s="42"/>
      <c r="Y686" s="42"/>
      <c r="Z686" s="42"/>
    </row>
    <row r="687" ht="57.0" customHeight="1">
      <c r="A687" s="57" t="s">
        <v>247</v>
      </c>
      <c r="B687" s="57" t="s">
        <v>147</v>
      </c>
      <c r="C687" s="57" t="s">
        <v>2238</v>
      </c>
      <c r="D687" s="57" t="s">
        <v>2239</v>
      </c>
      <c r="E687" s="57" t="s">
        <v>2240</v>
      </c>
      <c r="F687" s="58">
        <v>730000.0</v>
      </c>
      <c r="G687" s="57" t="s">
        <v>467</v>
      </c>
      <c r="H687" s="59" t="s">
        <v>252</v>
      </c>
      <c r="I687" s="60" t="s">
        <v>253</v>
      </c>
      <c r="J687" s="61"/>
      <c r="K687" s="61"/>
      <c r="L687" s="42"/>
      <c r="M687" s="42"/>
      <c r="N687" s="42"/>
      <c r="O687" s="42"/>
      <c r="P687" s="42"/>
      <c r="Q687" s="42"/>
      <c r="R687" s="42"/>
      <c r="S687" s="42"/>
      <c r="T687" s="42"/>
      <c r="U687" s="42"/>
      <c r="V687" s="42"/>
      <c r="W687" s="42"/>
      <c r="X687" s="42"/>
      <c r="Y687" s="42"/>
      <c r="Z687" s="42"/>
    </row>
    <row r="688" ht="57.0" customHeight="1">
      <c r="A688" s="57" t="s">
        <v>247</v>
      </c>
      <c r="B688" s="57" t="s">
        <v>147</v>
      </c>
      <c r="C688" s="57" t="s">
        <v>2241</v>
      </c>
      <c r="D688" s="57" t="s">
        <v>2242</v>
      </c>
      <c r="E688" s="57" t="s">
        <v>2243</v>
      </c>
      <c r="F688" s="58">
        <v>750000.0</v>
      </c>
      <c r="G688" s="57" t="s">
        <v>467</v>
      </c>
      <c r="H688" s="59" t="s">
        <v>252</v>
      </c>
      <c r="I688" s="60" t="s">
        <v>253</v>
      </c>
      <c r="J688" s="61"/>
      <c r="K688" s="61"/>
      <c r="L688" s="42"/>
      <c r="M688" s="42"/>
      <c r="N688" s="42"/>
      <c r="O688" s="42"/>
      <c r="P688" s="42"/>
      <c r="Q688" s="42"/>
      <c r="R688" s="42"/>
      <c r="S688" s="42"/>
      <c r="T688" s="42"/>
      <c r="U688" s="42"/>
      <c r="V688" s="42"/>
      <c r="W688" s="42"/>
      <c r="X688" s="42"/>
      <c r="Y688" s="42"/>
      <c r="Z688" s="42"/>
    </row>
    <row r="689" ht="57.0" customHeight="1">
      <c r="A689" s="57" t="s">
        <v>247</v>
      </c>
      <c r="B689" s="57" t="s">
        <v>147</v>
      </c>
      <c r="C689" s="57" t="s">
        <v>2244</v>
      </c>
      <c r="D689" s="57" t="s">
        <v>2245</v>
      </c>
      <c r="E689" s="57" t="s">
        <v>2246</v>
      </c>
      <c r="F689" s="58">
        <v>500000.0</v>
      </c>
      <c r="G689" s="57" t="s">
        <v>251</v>
      </c>
      <c r="H689" s="59" t="s">
        <v>252</v>
      </c>
      <c r="I689" s="60" t="s">
        <v>472</v>
      </c>
      <c r="J689" s="61"/>
      <c r="K689" s="61"/>
      <c r="L689" s="42"/>
      <c r="M689" s="42"/>
      <c r="N689" s="42"/>
      <c r="O689" s="42"/>
      <c r="P689" s="42"/>
      <c r="Q689" s="42"/>
      <c r="R689" s="42"/>
      <c r="S689" s="42"/>
      <c r="T689" s="42"/>
      <c r="U689" s="42"/>
      <c r="V689" s="42"/>
      <c r="W689" s="42"/>
      <c r="X689" s="42"/>
      <c r="Y689" s="42"/>
      <c r="Z689" s="42"/>
    </row>
    <row r="690" ht="57.0" customHeight="1">
      <c r="A690" s="57" t="s">
        <v>247</v>
      </c>
      <c r="B690" s="57" t="s">
        <v>147</v>
      </c>
      <c r="C690" s="57" t="s">
        <v>2247</v>
      </c>
      <c r="D690" s="57" t="s">
        <v>2248</v>
      </c>
      <c r="E690" s="57" t="s">
        <v>2249</v>
      </c>
      <c r="F690" s="58">
        <v>640000.0</v>
      </c>
      <c r="G690" s="57" t="s">
        <v>251</v>
      </c>
      <c r="H690" s="59" t="s">
        <v>252</v>
      </c>
      <c r="I690" s="60" t="s">
        <v>253</v>
      </c>
      <c r="J690" s="61"/>
      <c r="K690" s="61"/>
      <c r="L690" s="42"/>
      <c r="M690" s="42"/>
      <c r="N690" s="42"/>
      <c r="O690" s="42"/>
      <c r="P690" s="42"/>
      <c r="Q690" s="42"/>
      <c r="R690" s="42"/>
      <c r="S690" s="42"/>
      <c r="T690" s="42"/>
      <c r="U690" s="42"/>
      <c r="V690" s="42"/>
      <c r="W690" s="42"/>
      <c r="X690" s="42"/>
      <c r="Y690" s="42"/>
      <c r="Z690" s="42"/>
    </row>
    <row r="691" ht="57.0" customHeight="1">
      <c r="A691" s="57" t="s">
        <v>247</v>
      </c>
      <c r="B691" s="57" t="s">
        <v>147</v>
      </c>
      <c r="C691" s="57" t="s">
        <v>2250</v>
      </c>
      <c r="D691" s="57" t="s">
        <v>2251</v>
      </c>
      <c r="E691" s="57" t="s">
        <v>2252</v>
      </c>
      <c r="F691" s="58">
        <v>730000.0</v>
      </c>
      <c r="G691" s="57" t="s">
        <v>251</v>
      </c>
      <c r="H691" s="59" t="s">
        <v>252</v>
      </c>
      <c r="I691" s="60" t="s">
        <v>253</v>
      </c>
      <c r="J691" s="61"/>
      <c r="K691" s="61"/>
      <c r="L691" s="42"/>
      <c r="M691" s="42"/>
      <c r="N691" s="42"/>
      <c r="O691" s="42"/>
      <c r="P691" s="42"/>
      <c r="Q691" s="42"/>
      <c r="R691" s="42"/>
      <c r="S691" s="42"/>
      <c r="T691" s="42"/>
      <c r="U691" s="42"/>
      <c r="V691" s="42"/>
      <c r="W691" s="42"/>
      <c r="X691" s="42"/>
      <c r="Y691" s="42"/>
      <c r="Z691" s="42"/>
    </row>
    <row r="692" ht="57.0" customHeight="1">
      <c r="A692" s="57" t="s">
        <v>247</v>
      </c>
      <c r="B692" s="57" t="s">
        <v>147</v>
      </c>
      <c r="C692" s="57" t="s">
        <v>2253</v>
      </c>
      <c r="D692" s="57" t="s">
        <v>2254</v>
      </c>
      <c r="E692" s="57" t="s">
        <v>2255</v>
      </c>
      <c r="F692" s="58">
        <v>500000.0</v>
      </c>
      <c r="G692" s="57" t="s">
        <v>467</v>
      </c>
      <c r="H692" s="59" t="s">
        <v>252</v>
      </c>
      <c r="I692" s="60" t="s">
        <v>253</v>
      </c>
      <c r="J692" s="61"/>
      <c r="K692" s="61"/>
      <c r="L692" s="42"/>
      <c r="M692" s="42"/>
      <c r="N692" s="42"/>
      <c r="O692" s="42"/>
      <c r="P692" s="42"/>
      <c r="Q692" s="42"/>
      <c r="R692" s="42"/>
      <c r="S692" s="42"/>
      <c r="T692" s="42"/>
      <c r="U692" s="42"/>
      <c r="V692" s="42"/>
      <c r="W692" s="42"/>
      <c r="X692" s="42"/>
      <c r="Y692" s="42"/>
      <c r="Z692" s="42"/>
    </row>
    <row r="693" ht="57.0" customHeight="1">
      <c r="A693" s="57" t="s">
        <v>247</v>
      </c>
      <c r="B693" s="57" t="s">
        <v>147</v>
      </c>
      <c r="C693" s="57" t="s">
        <v>2256</v>
      </c>
      <c r="D693" s="57" t="s">
        <v>2257</v>
      </c>
      <c r="E693" s="57" t="s">
        <v>2258</v>
      </c>
      <c r="F693" s="58">
        <v>500000.0</v>
      </c>
      <c r="G693" s="57" t="s">
        <v>467</v>
      </c>
      <c r="H693" s="59" t="s">
        <v>252</v>
      </c>
      <c r="I693" s="60" t="s">
        <v>253</v>
      </c>
      <c r="J693" s="61"/>
      <c r="K693" s="61"/>
      <c r="L693" s="42"/>
      <c r="M693" s="42"/>
      <c r="N693" s="42"/>
      <c r="O693" s="42"/>
      <c r="P693" s="42"/>
      <c r="Q693" s="42"/>
      <c r="R693" s="42"/>
      <c r="S693" s="42"/>
      <c r="T693" s="42"/>
      <c r="U693" s="42"/>
      <c r="V693" s="42"/>
      <c r="W693" s="42"/>
      <c r="X693" s="42"/>
      <c r="Y693" s="42"/>
      <c r="Z693" s="42"/>
    </row>
    <row r="694" ht="57.0" customHeight="1">
      <c r="A694" s="57" t="s">
        <v>247</v>
      </c>
      <c r="B694" s="57" t="s">
        <v>147</v>
      </c>
      <c r="C694" s="57" t="s">
        <v>2259</v>
      </c>
      <c r="D694" s="57" t="s">
        <v>2260</v>
      </c>
      <c r="E694" s="57" t="s">
        <v>2261</v>
      </c>
      <c r="F694" s="58">
        <v>500000.0</v>
      </c>
      <c r="G694" s="57" t="s">
        <v>467</v>
      </c>
      <c r="H694" s="59" t="s">
        <v>252</v>
      </c>
      <c r="I694" s="60" t="s">
        <v>253</v>
      </c>
      <c r="J694" s="61"/>
      <c r="K694" s="61"/>
      <c r="L694" s="42"/>
      <c r="M694" s="42"/>
      <c r="N694" s="42"/>
      <c r="O694" s="42"/>
      <c r="P694" s="42"/>
      <c r="Q694" s="42"/>
      <c r="R694" s="42"/>
      <c r="S694" s="42"/>
      <c r="T694" s="42"/>
      <c r="U694" s="42"/>
      <c r="V694" s="42"/>
      <c r="W694" s="42"/>
      <c r="X694" s="42"/>
      <c r="Y694" s="42"/>
      <c r="Z694" s="42"/>
    </row>
    <row r="695" ht="57.0" customHeight="1">
      <c r="A695" s="57" t="s">
        <v>247</v>
      </c>
      <c r="B695" s="57" t="s">
        <v>147</v>
      </c>
      <c r="C695" s="57" t="s">
        <v>2262</v>
      </c>
      <c r="D695" s="57" t="s">
        <v>2263</v>
      </c>
      <c r="E695" s="57" t="s">
        <v>2264</v>
      </c>
      <c r="F695" s="58">
        <v>500000.0</v>
      </c>
      <c r="G695" s="57" t="s">
        <v>467</v>
      </c>
      <c r="H695" s="59" t="s">
        <v>252</v>
      </c>
      <c r="I695" s="60" t="s">
        <v>253</v>
      </c>
      <c r="J695" s="61"/>
      <c r="K695" s="61"/>
      <c r="L695" s="42"/>
      <c r="M695" s="42"/>
      <c r="N695" s="42"/>
      <c r="O695" s="42"/>
      <c r="P695" s="42"/>
      <c r="Q695" s="42"/>
      <c r="R695" s="42"/>
      <c r="S695" s="42"/>
      <c r="T695" s="42"/>
      <c r="U695" s="42"/>
      <c r="V695" s="42"/>
      <c r="W695" s="42"/>
      <c r="X695" s="42"/>
      <c r="Y695" s="42"/>
      <c r="Z695" s="42"/>
    </row>
    <row r="696" ht="57.0" customHeight="1">
      <c r="A696" s="57" t="s">
        <v>247</v>
      </c>
      <c r="B696" s="57" t="s">
        <v>147</v>
      </c>
      <c r="C696" s="57" t="s">
        <v>2265</v>
      </c>
      <c r="D696" s="57" t="s">
        <v>2266</v>
      </c>
      <c r="E696" s="57" t="s">
        <v>2267</v>
      </c>
      <c r="F696" s="58">
        <v>5150000.0</v>
      </c>
      <c r="G696" s="57" t="s">
        <v>251</v>
      </c>
      <c r="H696" s="59" t="s">
        <v>252</v>
      </c>
      <c r="I696" s="60" t="s">
        <v>253</v>
      </c>
      <c r="J696" s="61"/>
      <c r="K696" s="61"/>
      <c r="L696" s="42"/>
      <c r="M696" s="42"/>
      <c r="N696" s="42"/>
      <c r="O696" s="42"/>
      <c r="P696" s="42"/>
      <c r="Q696" s="42"/>
      <c r="R696" s="42"/>
      <c r="S696" s="42"/>
      <c r="T696" s="42"/>
      <c r="U696" s="42"/>
      <c r="V696" s="42"/>
      <c r="W696" s="42"/>
      <c r="X696" s="42"/>
      <c r="Y696" s="42"/>
      <c r="Z696" s="42"/>
    </row>
    <row r="697" ht="85.5" customHeight="1">
      <c r="A697" s="57" t="s">
        <v>247</v>
      </c>
      <c r="B697" s="57" t="s">
        <v>147</v>
      </c>
      <c r="C697" s="57" t="s">
        <v>2268</v>
      </c>
      <c r="D697" s="57" t="s">
        <v>2269</v>
      </c>
      <c r="E697" s="57" t="s">
        <v>2270</v>
      </c>
      <c r="F697" s="71">
        <v>8000000.0</v>
      </c>
      <c r="G697" s="57" t="s">
        <v>251</v>
      </c>
      <c r="H697" s="59" t="s">
        <v>252</v>
      </c>
      <c r="I697" s="60" t="s">
        <v>468</v>
      </c>
      <c r="J697" s="61"/>
      <c r="K697" s="61"/>
      <c r="L697" s="42"/>
      <c r="M697" s="42"/>
      <c r="N697" s="42"/>
      <c r="O697" s="42"/>
      <c r="P697" s="42"/>
      <c r="Q697" s="42"/>
      <c r="R697" s="42"/>
      <c r="S697" s="42"/>
      <c r="T697" s="42"/>
      <c r="U697" s="42"/>
      <c r="V697" s="42"/>
      <c r="W697" s="42"/>
      <c r="X697" s="42"/>
      <c r="Y697" s="42"/>
      <c r="Z697" s="42"/>
    </row>
    <row r="698" ht="57.0" customHeight="1">
      <c r="A698" s="57" t="s">
        <v>247</v>
      </c>
      <c r="B698" s="57" t="s">
        <v>147</v>
      </c>
      <c r="C698" s="57" t="s">
        <v>2271</v>
      </c>
      <c r="D698" s="57" t="s">
        <v>2272</v>
      </c>
      <c r="E698" s="57" t="s">
        <v>2273</v>
      </c>
      <c r="F698" s="58">
        <v>250000.0</v>
      </c>
      <c r="G698" s="57" t="s">
        <v>251</v>
      </c>
      <c r="H698" s="59" t="s">
        <v>252</v>
      </c>
      <c r="I698" s="59" t="s">
        <v>472</v>
      </c>
      <c r="J698" s="61"/>
      <c r="K698" s="61"/>
      <c r="L698" s="42"/>
      <c r="M698" s="42"/>
      <c r="N698" s="42"/>
      <c r="O698" s="42"/>
      <c r="P698" s="42"/>
      <c r="Q698" s="42"/>
      <c r="R698" s="42"/>
      <c r="S698" s="42"/>
      <c r="T698" s="42"/>
      <c r="U698" s="42"/>
      <c r="V698" s="42"/>
      <c r="W698" s="42"/>
      <c r="X698" s="42"/>
      <c r="Y698" s="42"/>
      <c r="Z698" s="42"/>
    </row>
    <row r="699" ht="57.0" customHeight="1">
      <c r="A699" s="57" t="s">
        <v>247</v>
      </c>
      <c r="B699" s="57" t="s">
        <v>147</v>
      </c>
      <c r="C699" s="57" t="s">
        <v>2274</v>
      </c>
      <c r="D699" s="57" t="s">
        <v>2275</v>
      </c>
      <c r="E699" s="57" t="s">
        <v>2276</v>
      </c>
      <c r="F699" s="58">
        <v>2000000.0</v>
      </c>
      <c r="G699" s="57" t="s">
        <v>467</v>
      </c>
      <c r="H699" s="59" t="s">
        <v>252</v>
      </c>
      <c r="I699" s="59" t="s">
        <v>472</v>
      </c>
      <c r="J699" s="61"/>
      <c r="K699" s="61"/>
      <c r="L699" s="42"/>
      <c r="M699" s="42"/>
      <c r="N699" s="42"/>
      <c r="O699" s="42"/>
      <c r="P699" s="42"/>
      <c r="Q699" s="42"/>
      <c r="R699" s="42"/>
      <c r="S699" s="42"/>
      <c r="T699" s="42"/>
      <c r="U699" s="42"/>
      <c r="V699" s="42"/>
      <c r="W699" s="42"/>
      <c r="X699" s="42"/>
      <c r="Y699" s="42"/>
      <c r="Z699" s="42"/>
    </row>
    <row r="700" ht="57.0" customHeight="1">
      <c r="A700" s="57" t="s">
        <v>247</v>
      </c>
      <c r="B700" s="57" t="s">
        <v>147</v>
      </c>
      <c r="C700" s="57" t="s">
        <v>2277</v>
      </c>
      <c r="D700" s="57" t="s">
        <v>2278</v>
      </c>
      <c r="E700" s="57" t="s">
        <v>2279</v>
      </c>
      <c r="F700" s="58">
        <v>2200000.0</v>
      </c>
      <c r="G700" s="57" t="s">
        <v>467</v>
      </c>
      <c r="H700" s="59" t="s">
        <v>252</v>
      </c>
      <c r="I700" s="59" t="s">
        <v>472</v>
      </c>
      <c r="J700" s="61"/>
      <c r="K700" s="61"/>
      <c r="L700" s="42"/>
      <c r="M700" s="42"/>
      <c r="N700" s="42"/>
      <c r="O700" s="42"/>
      <c r="P700" s="42"/>
      <c r="Q700" s="42"/>
      <c r="R700" s="42"/>
      <c r="S700" s="42"/>
      <c r="T700" s="42"/>
      <c r="U700" s="42"/>
      <c r="V700" s="42"/>
      <c r="W700" s="42"/>
      <c r="X700" s="42"/>
      <c r="Y700" s="42"/>
      <c r="Z700" s="42"/>
    </row>
    <row r="701" ht="57.0" customHeight="1">
      <c r="A701" s="57" t="s">
        <v>247</v>
      </c>
      <c r="B701" s="57" t="s">
        <v>147</v>
      </c>
      <c r="C701" s="57" t="s">
        <v>2280</v>
      </c>
      <c r="D701" s="57" t="s">
        <v>2281</v>
      </c>
      <c r="E701" s="57" t="s">
        <v>2279</v>
      </c>
      <c r="F701" s="58">
        <v>1700000.0</v>
      </c>
      <c r="G701" s="57" t="s">
        <v>467</v>
      </c>
      <c r="H701" s="59" t="s">
        <v>252</v>
      </c>
      <c r="I701" s="59" t="s">
        <v>472</v>
      </c>
      <c r="J701" s="61"/>
      <c r="K701" s="61"/>
      <c r="L701" s="42"/>
      <c r="M701" s="42"/>
      <c r="N701" s="42"/>
      <c r="O701" s="42"/>
      <c r="P701" s="42"/>
      <c r="Q701" s="42"/>
      <c r="R701" s="42"/>
      <c r="S701" s="42"/>
      <c r="T701" s="42"/>
      <c r="U701" s="42"/>
      <c r="V701" s="42"/>
      <c r="W701" s="42"/>
      <c r="X701" s="42"/>
      <c r="Y701" s="42"/>
      <c r="Z701" s="42"/>
    </row>
    <row r="702" ht="57.0" customHeight="1">
      <c r="A702" s="57" t="s">
        <v>247</v>
      </c>
      <c r="B702" s="57" t="s">
        <v>147</v>
      </c>
      <c r="C702" s="57" t="s">
        <v>2282</v>
      </c>
      <c r="D702" s="57" t="s">
        <v>2283</v>
      </c>
      <c r="E702" s="57" t="s">
        <v>2284</v>
      </c>
      <c r="F702" s="58">
        <v>800000.0</v>
      </c>
      <c r="G702" s="57" t="s">
        <v>467</v>
      </c>
      <c r="H702" s="59" t="s">
        <v>252</v>
      </c>
      <c r="I702" s="59" t="s">
        <v>472</v>
      </c>
      <c r="J702" s="61"/>
      <c r="K702" s="61"/>
      <c r="L702" s="42"/>
      <c r="M702" s="42"/>
      <c r="N702" s="42"/>
      <c r="O702" s="42"/>
      <c r="P702" s="42"/>
      <c r="Q702" s="42"/>
      <c r="R702" s="42"/>
      <c r="S702" s="42"/>
      <c r="T702" s="42"/>
      <c r="U702" s="42"/>
      <c r="V702" s="42"/>
      <c r="W702" s="42"/>
      <c r="X702" s="42"/>
      <c r="Y702" s="42"/>
      <c r="Z702" s="42"/>
    </row>
    <row r="703" ht="57.0" customHeight="1">
      <c r="A703" s="57" t="s">
        <v>247</v>
      </c>
      <c r="B703" s="57" t="s">
        <v>147</v>
      </c>
      <c r="C703" s="57" t="s">
        <v>2285</v>
      </c>
      <c r="D703" s="57" t="s">
        <v>2286</v>
      </c>
      <c r="E703" s="57" t="s">
        <v>2287</v>
      </c>
      <c r="F703" s="58">
        <v>7000000.0</v>
      </c>
      <c r="G703" s="57" t="s">
        <v>467</v>
      </c>
      <c r="H703" s="59" t="s">
        <v>252</v>
      </c>
      <c r="I703" s="59" t="s">
        <v>472</v>
      </c>
      <c r="J703" s="61"/>
      <c r="K703" s="61"/>
      <c r="L703" s="42"/>
      <c r="M703" s="42"/>
      <c r="N703" s="42"/>
      <c r="O703" s="42"/>
      <c r="P703" s="42"/>
      <c r="Q703" s="42"/>
      <c r="R703" s="42"/>
      <c r="S703" s="42"/>
      <c r="T703" s="42"/>
      <c r="U703" s="42"/>
      <c r="V703" s="42"/>
      <c r="W703" s="42"/>
      <c r="X703" s="42"/>
      <c r="Y703" s="42"/>
      <c r="Z703" s="42"/>
    </row>
    <row r="704" ht="57.0" customHeight="1">
      <c r="A704" s="57" t="s">
        <v>247</v>
      </c>
      <c r="B704" s="57" t="s">
        <v>147</v>
      </c>
      <c r="C704" s="57" t="s">
        <v>2288</v>
      </c>
      <c r="D704" s="57" t="s">
        <v>2289</v>
      </c>
      <c r="E704" s="57" t="s">
        <v>2290</v>
      </c>
      <c r="F704" s="58">
        <v>1000000.0</v>
      </c>
      <c r="G704" s="57" t="s">
        <v>467</v>
      </c>
      <c r="H704" s="59" t="s">
        <v>252</v>
      </c>
      <c r="I704" s="59" t="s">
        <v>472</v>
      </c>
      <c r="J704" s="61"/>
      <c r="K704" s="61"/>
      <c r="L704" s="42"/>
      <c r="M704" s="42"/>
      <c r="N704" s="42"/>
      <c r="O704" s="42"/>
      <c r="P704" s="42"/>
      <c r="Q704" s="42"/>
      <c r="R704" s="42"/>
      <c r="S704" s="42"/>
      <c r="T704" s="42"/>
      <c r="U704" s="42"/>
      <c r="V704" s="42"/>
      <c r="W704" s="42"/>
      <c r="X704" s="42"/>
      <c r="Y704" s="42"/>
      <c r="Z704" s="42"/>
    </row>
    <row r="705" ht="57.0" customHeight="1">
      <c r="A705" s="57" t="s">
        <v>247</v>
      </c>
      <c r="B705" s="57" t="s">
        <v>147</v>
      </c>
      <c r="C705" s="57" t="s">
        <v>2291</v>
      </c>
      <c r="D705" s="57" t="s">
        <v>2292</v>
      </c>
      <c r="E705" s="57" t="s">
        <v>2293</v>
      </c>
      <c r="F705" s="58">
        <v>5500000.0</v>
      </c>
      <c r="G705" s="57" t="s">
        <v>251</v>
      </c>
      <c r="H705" s="59" t="s">
        <v>252</v>
      </c>
      <c r="I705" s="59" t="s">
        <v>472</v>
      </c>
      <c r="J705" s="61"/>
      <c r="K705" s="61"/>
      <c r="L705" s="42"/>
      <c r="M705" s="42"/>
      <c r="N705" s="42"/>
      <c r="O705" s="42"/>
      <c r="P705" s="42"/>
      <c r="Q705" s="42"/>
      <c r="R705" s="42"/>
      <c r="S705" s="42"/>
      <c r="T705" s="42"/>
      <c r="U705" s="42"/>
      <c r="V705" s="42"/>
      <c r="W705" s="42"/>
      <c r="X705" s="42"/>
      <c r="Y705" s="42"/>
      <c r="Z705" s="42"/>
    </row>
    <row r="706" ht="57.0" customHeight="1">
      <c r="A706" s="57" t="s">
        <v>247</v>
      </c>
      <c r="B706" s="57" t="s">
        <v>147</v>
      </c>
      <c r="C706" s="57" t="s">
        <v>2294</v>
      </c>
      <c r="D706" s="57" t="s">
        <v>2295</v>
      </c>
      <c r="E706" s="57"/>
      <c r="F706" s="58">
        <v>1.8E7</v>
      </c>
      <c r="G706" s="57" t="s">
        <v>467</v>
      </c>
      <c r="H706" s="59" t="s">
        <v>252</v>
      </c>
      <c r="I706" s="59" t="s">
        <v>272</v>
      </c>
      <c r="J706" s="61"/>
      <c r="K706" s="61"/>
      <c r="L706" s="42"/>
      <c r="M706" s="42"/>
      <c r="N706" s="42"/>
      <c r="O706" s="42"/>
      <c r="P706" s="42"/>
      <c r="Q706" s="42"/>
      <c r="R706" s="42"/>
      <c r="S706" s="42"/>
      <c r="T706" s="42"/>
      <c r="U706" s="42"/>
      <c r="V706" s="42"/>
      <c r="W706" s="42"/>
      <c r="X706" s="42"/>
      <c r="Y706" s="42"/>
      <c r="Z706" s="42"/>
    </row>
    <row r="707" ht="57.0" customHeight="1">
      <c r="A707" s="57" t="s">
        <v>247</v>
      </c>
      <c r="B707" s="57" t="s">
        <v>147</v>
      </c>
      <c r="C707" s="57" t="s">
        <v>2296</v>
      </c>
      <c r="D707" s="57" t="s">
        <v>2297</v>
      </c>
      <c r="E707" s="57"/>
      <c r="F707" s="58">
        <v>1.5E7</v>
      </c>
      <c r="G707" s="57" t="s">
        <v>251</v>
      </c>
      <c r="H707" s="59" t="s">
        <v>252</v>
      </c>
      <c r="I707" s="59" t="s">
        <v>272</v>
      </c>
      <c r="J707" s="61"/>
      <c r="K707" s="61"/>
      <c r="L707" s="42"/>
      <c r="M707" s="42"/>
      <c r="N707" s="42"/>
      <c r="O707" s="42"/>
      <c r="P707" s="42"/>
      <c r="Q707" s="42"/>
      <c r="R707" s="42"/>
      <c r="S707" s="42"/>
      <c r="T707" s="42"/>
      <c r="U707" s="42"/>
      <c r="V707" s="42"/>
      <c r="W707" s="42"/>
      <c r="X707" s="42"/>
      <c r="Y707" s="42"/>
      <c r="Z707" s="42"/>
    </row>
    <row r="708" ht="30.75" customHeight="1">
      <c r="A708" s="52" t="s">
        <v>247</v>
      </c>
      <c r="B708" s="52" t="s">
        <v>150</v>
      </c>
      <c r="C708" s="52" t="s">
        <v>151</v>
      </c>
      <c r="D708" s="52" t="s">
        <v>152</v>
      </c>
      <c r="E708" s="52"/>
      <c r="F708" s="62"/>
      <c r="G708" s="52"/>
      <c r="H708" s="63"/>
      <c r="I708" s="63"/>
      <c r="J708" s="54"/>
      <c r="K708" s="54"/>
      <c r="L708" s="56"/>
      <c r="M708" s="56"/>
      <c r="N708" s="56"/>
      <c r="O708" s="56"/>
      <c r="P708" s="56"/>
      <c r="Q708" s="56"/>
      <c r="R708" s="56"/>
      <c r="S708" s="56"/>
      <c r="T708" s="56"/>
      <c r="U708" s="56"/>
      <c r="V708" s="56"/>
      <c r="W708" s="56"/>
      <c r="X708" s="56"/>
      <c r="Y708" s="56"/>
      <c r="Z708" s="56"/>
    </row>
    <row r="709" ht="57.0" customHeight="1">
      <c r="A709" s="57" t="s">
        <v>247</v>
      </c>
      <c r="B709" s="57" t="s">
        <v>150</v>
      </c>
      <c r="C709" s="57" t="s">
        <v>2298</v>
      </c>
      <c r="D709" s="57" t="s">
        <v>2299</v>
      </c>
      <c r="E709" s="57" t="s">
        <v>2300</v>
      </c>
      <c r="F709" s="58">
        <v>400000.0</v>
      </c>
      <c r="G709" s="57" t="s">
        <v>467</v>
      </c>
      <c r="H709" s="59" t="s">
        <v>252</v>
      </c>
      <c r="I709" s="60" t="s">
        <v>253</v>
      </c>
      <c r="J709" s="61"/>
      <c r="K709" s="61"/>
      <c r="L709" s="42"/>
      <c r="M709" s="42"/>
      <c r="N709" s="42"/>
      <c r="O709" s="42"/>
      <c r="P709" s="42"/>
      <c r="Q709" s="42"/>
      <c r="R709" s="42"/>
      <c r="S709" s="42"/>
      <c r="T709" s="42"/>
      <c r="U709" s="42"/>
      <c r="V709" s="42"/>
      <c r="W709" s="42"/>
      <c r="X709" s="42"/>
      <c r="Y709" s="42"/>
      <c r="Z709" s="42"/>
    </row>
    <row r="710" ht="57.0" customHeight="1">
      <c r="A710" s="57" t="s">
        <v>247</v>
      </c>
      <c r="B710" s="57" t="s">
        <v>150</v>
      </c>
      <c r="C710" s="57" t="s">
        <v>2301</v>
      </c>
      <c r="D710" s="57" t="s">
        <v>2302</v>
      </c>
      <c r="E710" s="57" t="s">
        <v>2303</v>
      </c>
      <c r="F710" s="58">
        <v>1500000.0</v>
      </c>
      <c r="G710" s="57" t="s">
        <v>467</v>
      </c>
      <c r="H710" s="59" t="s">
        <v>252</v>
      </c>
      <c r="I710" s="60" t="s">
        <v>253</v>
      </c>
      <c r="J710" s="61"/>
      <c r="K710" s="61"/>
      <c r="L710" s="42"/>
      <c r="M710" s="42"/>
      <c r="N710" s="42"/>
      <c r="O710" s="42"/>
      <c r="P710" s="42"/>
      <c r="Q710" s="42"/>
      <c r="R710" s="42"/>
      <c r="S710" s="42"/>
      <c r="T710" s="42"/>
      <c r="U710" s="42"/>
      <c r="V710" s="42"/>
      <c r="W710" s="42"/>
      <c r="X710" s="42"/>
      <c r="Y710" s="42"/>
      <c r="Z710" s="42"/>
    </row>
    <row r="711" ht="57.0" customHeight="1">
      <c r="A711" s="57" t="s">
        <v>247</v>
      </c>
      <c r="B711" s="57" t="s">
        <v>150</v>
      </c>
      <c r="C711" s="57" t="s">
        <v>2304</v>
      </c>
      <c r="D711" s="57" t="s">
        <v>2305</v>
      </c>
      <c r="E711" s="57" t="s">
        <v>2306</v>
      </c>
      <c r="F711" s="58">
        <v>1000000.0</v>
      </c>
      <c r="G711" s="57" t="s">
        <v>251</v>
      </c>
      <c r="H711" s="59" t="s">
        <v>252</v>
      </c>
      <c r="I711" s="60" t="s">
        <v>253</v>
      </c>
      <c r="J711" s="61"/>
      <c r="K711" s="61"/>
      <c r="L711" s="42"/>
      <c r="M711" s="42"/>
      <c r="N711" s="42"/>
      <c r="O711" s="42"/>
      <c r="P711" s="42"/>
      <c r="Q711" s="42"/>
      <c r="R711" s="42"/>
      <c r="S711" s="42"/>
      <c r="T711" s="42"/>
      <c r="U711" s="42"/>
      <c r="V711" s="42"/>
      <c r="W711" s="42"/>
      <c r="X711" s="42"/>
      <c r="Y711" s="42"/>
      <c r="Z711" s="42"/>
    </row>
    <row r="712" ht="57.0" customHeight="1">
      <c r="A712" s="57" t="s">
        <v>247</v>
      </c>
      <c r="B712" s="57" t="s">
        <v>150</v>
      </c>
      <c r="C712" s="57" t="s">
        <v>2307</v>
      </c>
      <c r="D712" s="57" t="s">
        <v>2308</v>
      </c>
      <c r="E712" s="57" t="s">
        <v>2309</v>
      </c>
      <c r="F712" s="58">
        <v>2000000.0</v>
      </c>
      <c r="G712" s="57" t="s">
        <v>251</v>
      </c>
      <c r="H712" s="59" t="s">
        <v>252</v>
      </c>
      <c r="I712" s="60" t="s">
        <v>253</v>
      </c>
      <c r="J712" s="61"/>
      <c r="K712" s="61"/>
      <c r="L712" s="42"/>
      <c r="M712" s="42"/>
      <c r="N712" s="42"/>
      <c r="O712" s="42"/>
      <c r="P712" s="42"/>
      <c r="Q712" s="42"/>
      <c r="R712" s="42"/>
      <c r="S712" s="42"/>
      <c r="T712" s="42"/>
      <c r="U712" s="42"/>
      <c r="V712" s="42"/>
      <c r="W712" s="42"/>
      <c r="X712" s="42"/>
      <c r="Y712" s="42"/>
      <c r="Z712" s="42"/>
    </row>
    <row r="713" ht="57.0" customHeight="1">
      <c r="A713" s="57" t="s">
        <v>247</v>
      </c>
      <c r="B713" s="57" t="s">
        <v>150</v>
      </c>
      <c r="C713" s="57" t="s">
        <v>2310</v>
      </c>
      <c r="D713" s="57" t="s">
        <v>2311</v>
      </c>
      <c r="E713" s="57" t="s">
        <v>2312</v>
      </c>
      <c r="F713" s="58">
        <v>1000000.0</v>
      </c>
      <c r="G713" s="57" t="s">
        <v>467</v>
      </c>
      <c r="H713" s="59" t="s">
        <v>252</v>
      </c>
      <c r="I713" s="60" t="s">
        <v>253</v>
      </c>
      <c r="J713" s="61"/>
      <c r="K713" s="61"/>
      <c r="L713" s="42"/>
      <c r="M713" s="42"/>
      <c r="N713" s="42"/>
      <c r="O713" s="42"/>
      <c r="P713" s="42"/>
      <c r="Q713" s="42"/>
      <c r="R713" s="42"/>
      <c r="S713" s="42"/>
      <c r="T713" s="42"/>
      <c r="U713" s="42"/>
      <c r="V713" s="42"/>
      <c r="W713" s="42"/>
      <c r="X713" s="42"/>
      <c r="Y713" s="42"/>
      <c r="Z713" s="42"/>
    </row>
    <row r="714" ht="57.0" customHeight="1">
      <c r="A714" s="57" t="s">
        <v>247</v>
      </c>
      <c r="B714" s="57" t="s">
        <v>150</v>
      </c>
      <c r="C714" s="57" t="s">
        <v>2313</v>
      </c>
      <c r="D714" s="57" t="s">
        <v>2314</v>
      </c>
      <c r="E714" s="57" t="s">
        <v>2315</v>
      </c>
      <c r="F714" s="58">
        <v>4000000.0</v>
      </c>
      <c r="G714" s="57" t="s">
        <v>251</v>
      </c>
      <c r="H714" s="59" t="s">
        <v>252</v>
      </c>
      <c r="I714" s="60" t="s">
        <v>253</v>
      </c>
      <c r="J714" s="61"/>
      <c r="K714" s="61"/>
      <c r="L714" s="42"/>
      <c r="M714" s="42"/>
      <c r="N714" s="42"/>
      <c r="O714" s="42"/>
      <c r="P714" s="42"/>
      <c r="Q714" s="42"/>
      <c r="R714" s="42"/>
      <c r="S714" s="42"/>
      <c r="T714" s="42"/>
      <c r="U714" s="42"/>
      <c r="V714" s="42"/>
      <c r="W714" s="42"/>
      <c r="X714" s="42"/>
      <c r="Y714" s="42"/>
      <c r="Z714" s="42"/>
    </row>
    <row r="715" ht="57.0" customHeight="1">
      <c r="A715" s="57" t="s">
        <v>247</v>
      </c>
      <c r="B715" s="57" t="s">
        <v>150</v>
      </c>
      <c r="C715" s="57" t="s">
        <v>2316</v>
      </c>
      <c r="D715" s="57" t="s">
        <v>2317</v>
      </c>
      <c r="E715" s="57" t="s">
        <v>2318</v>
      </c>
      <c r="F715" s="58">
        <v>1600000.0</v>
      </c>
      <c r="G715" s="57" t="s">
        <v>467</v>
      </c>
      <c r="H715" s="59" t="s">
        <v>252</v>
      </c>
      <c r="I715" s="60" t="s">
        <v>253</v>
      </c>
      <c r="J715" s="61"/>
      <c r="K715" s="61"/>
      <c r="L715" s="42"/>
      <c r="M715" s="42"/>
      <c r="N715" s="42"/>
      <c r="O715" s="42"/>
      <c r="P715" s="42"/>
      <c r="Q715" s="42"/>
      <c r="R715" s="42"/>
      <c r="S715" s="42"/>
      <c r="T715" s="42"/>
      <c r="U715" s="42"/>
      <c r="V715" s="42"/>
      <c r="W715" s="42"/>
      <c r="X715" s="42"/>
      <c r="Y715" s="42"/>
      <c r="Z715" s="42"/>
    </row>
    <row r="716" ht="57.0" customHeight="1">
      <c r="A716" s="57" t="s">
        <v>247</v>
      </c>
      <c r="B716" s="57" t="s">
        <v>150</v>
      </c>
      <c r="C716" s="57" t="s">
        <v>2319</v>
      </c>
      <c r="D716" s="57" t="s">
        <v>2320</v>
      </c>
      <c r="E716" s="57" t="s">
        <v>2321</v>
      </c>
      <c r="F716" s="58">
        <v>1.2E7</v>
      </c>
      <c r="G716" s="57" t="s">
        <v>251</v>
      </c>
      <c r="H716" s="59" t="s">
        <v>252</v>
      </c>
      <c r="I716" s="60" t="s">
        <v>253</v>
      </c>
      <c r="J716" s="61"/>
      <c r="K716" s="61"/>
      <c r="L716" s="42"/>
      <c r="M716" s="42"/>
      <c r="N716" s="42"/>
      <c r="O716" s="42"/>
      <c r="P716" s="42"/>
      <c r="Q716" s="42"/>
      <c r="R716" s="42"/>
      <c r="S716" s="42"/>
      <c r="T716" s="42"/>
      <c r="U716" s="42"/>
      <c r="V716" s="42"/>
      <c r="W716" s="42"/>
      <c r="X716" s="42"/>
      <c r="Y716" s="42"/>
      <c r="Z716" s="42"/>
    </row>
    <row r="717" ht="85.5" customHeight="1">
      <c r="A717" s="57" t="s">
        <v>247</v>
      </c>
      <c r="B717" s="57" t="s">
        <v>150</v>
      </c>
      <c r="C717" s="57" t="s">
        <v>2322</v>
      </c>
      <c r="D717" s="57" t="s">
        <v>2323</v>
      </c>
      <c r="E717" s="57" t="s">
        <v>2324</v>
      </c>
      <c r="F717" s="58">
        <v>4000000.0</v>
      </c>
      <c r="G717" s="57" t="s">
        <v>467</v>
      </c>
      <c r="H717" s="59" t="s">
        <v>594</v>
      </c>
      <c r="I717" s="59" t="s">
        <v>1720</v>
      </c>
      <c r="J717" s="61" t="s">
        <v>1721</v>
      </c>
      <c r="K717" s="67">
        <v>26846.0</v>
      </c>
      <c r="L717" s="42"/>
      <c r="M717" s="42"/>
      <c r="N717" s="42"/>
      <c r="O717" s="42"/>
      <c r="P717" s="42"/>
      <c r="Q717" s="42"/>
      <c r="R717" s="42"/>
      <c r="S717" s="42"/>
      <c r="T717" s="42"/>
      <c r="U717" s="42"/>
      <c r="V717" s="42"/>
      <c r="W717" s="42"/>
      <c r="X717" s="42"/>
      <c r="Y717" s="42"/>
      <c r="Z717" s="42"/>
    </row>
    <row r="718" ht="30.75" customHeight="1">
      <c r="A718" s="52" t="s">
        <v>247</v>
      </c>
      <c r="B718" s="52" t="s">
        <v>153</v>
      </c>
      <c r="C718" s="52" t="s">
        <v>154</v>
      </c>
      <c r="D718" s="52" t="s">
        <v>155</v>
      </c>
      <c r="E718" s="52"/>
      <c r="F718" s="62"/>
      <c r="G718" s="52"/>
      <c r="H718" s="63"/>
      <c r="I718" s="63"/>
      <c r="J718" s="54"/>
      <c r="K718" s="54"/>
      <c r="L718" s="56"/>
      <c r="M718" s="56"/>
      <c r="N718" s="56"/>
      <c r="O718" s="56"/>
      <c r="P718" s="56"/>
      <c r="Q718" s="56"/>
      <c r="R718" s="56"/>
      <c r="S718" s="56"/>
      <c r="T718" s="56"/>
      <c r="U718" s="56"/>
      <c r="V718" s="56"/>
      <c r="W718" s="56"/>
      <c r="X718" s="56"/>
      <c r="Y718" s="56"/>
      <c r="Z718" s="56"/>
    </row>
    <row r="719" ht="57.0" customHeight="1">
      <c r="A719" s="57" t="s">
        <v>247</v>
      </c>
      <c r="B719" s="57" t="s">
        <v>153</v>
      </c>
      <c r="C719" s="57" t="s">
        <v>2325</v>
      </c>
      <c r="D719" s="57" t="s">
        <v>2326</v>
      </c>
      <c r="E719" s="57"/>
      <c r="F719" s="58">
        <v>7500.0</v>
      </c>
      <c r="G719" s="57" t="s">
        <v>512</v>
      </c>
      <c r="H719" s="59" t="s">
        <v>952</v>
      </c>
      <c r="I719" s="59" t="s">
        <v>953</v>
      </c>
      <c r="J719" s="61"/>
      <c r="K719" s="61"/>
      <c r="L719" s="42"/>
      <c r="M719" s="42"/>
      <c r="N719" s="42"/>
      <c r="O719" s="42"/>
      <c r="P719" s="42"/>
      <c r="Q719" s="42"/>
      <c r="R719" s="42"/>
      <c r="S719" s="42"/>
      <c r="T719" s="42"/>
      <c r="U719" s="42"/>
      <c r="V719" s="42"/>
      <c r="W719" s="42"/>
      <c r="X719" s="42"/>
      <c r="Y719" s="42"/>
      <c r="Z719" s="42"/>
    </row>
    <row r="720" ht="57.0" customHeight="1">
      <c r="A720" s="57" t="s">
        <v>247</v>
      </c>
      <c r="B720" s="57" t="s">
        <v>153</v>
      </c>
      <c r="C720" s="57" t="s">
        <v>2327</v>
      </c>
      <c r="D720" s="57" t="s">
        <v>2328</v>
      </c>
      <c r="E720" s="57"/>
      <c r="F720" s="58">
        <v>20800.0</v>
      </c>
      <c r="G720" s="57" t="s">
        <v>512</v>
      </c>
      <c r="H720" s="59" t="s">
        <v>952</v>
      </c>
      <c r="I720" s="59" t="s">
        <v>953</v>
      </c>
      <c r="J720" s="61"/>
      <c r="K720" s="61"/>
      <c r="L720" s="42"/>
      <c r="M720" s="42"/>
      <c r="N720" s="42"/>
      <c r="O720" s="42"/>
      <c r="P720" s="42"/>
      <c r="Q720" s="42"/>
      <c r="R720" s="42"/>
      <c r="S720" s="42"/>
      <c r="T720" s="42"/>
      <c r="U720" s="42"/>
      <c r="V720" s="42"/>
      <c r="W720" s="42"/>
      <c r="X720" s="42"/>
      <c r="Y720" s="42"/>
      <c r="Z720" s="42"/>
    </row>
    <row r="721" ht="57.0" customHeight="1">
      <c r="A721" s="57" t="s">
        <v>247</v>
      </c>
      <c r="B721" s="57" t="s">
        <v>153</v>
      </c>
      <c r="C721" s="57" t="s">
        <v>2329</v>
      </c>
      <c r="D721" s="57" t="s">
        <v>2330</v>
      </c>
      <c r="E721" s="57"/>
      <c r="F721" s="58">
        <v>11000.0</v>
      </c>
      <c r="G721" s="57" t="s">
        <v>512</v>
      </c>
      <c r="H721" s="59" t="s">
        <v>952</v>
      </c>
      <c r="I721" s="59" t="s">
        <v>953</v>
      </c>
      <c r="J721" s="61"/>
      <c r="K721" s="61"/>
      <c r="L721" s="42"/>
      <c r="M721" s="42"/>
      <c r="N721" s="42"/>
      <c r="O721" s="42"/>
      <c r="P721" s="42"/>
      <c r="Q721" s="42"/>
      <c r="R721" s="42"/>
      <c r="S721" s="42"/>
      <c r="T721" s="42"/>
      <c r="U721" s="42"/>
      <c r="V721" s="42"/>
      <c r="W721" s="42"/>
      <c r="X721" s="42"/>
      <c r="Y721" s="42"/>
      <c r="Z721" s="42"/>
    </row>
    <row r="722" ht="57.0" customHeight="1">
      <c r="A722" s="57" t="s">
        <v>247</v>
      </c>
      <c r="B722" s="57" t="s">
        <v>153</v>
      </c>
      <c r="C722" s="57" t="s">
        <v>2331</v>
      </c>
      <c r="D722" s="57" t="s">
        <v>2332</v>
      </c>
      <c r="E722" s="57"/>
      <c r="F722" s="58">
        <v>10000.0</v>
      </c>
      <c r="G722" s="57" t="s">
        <v>512</v>
      </c>
      <c r="H722" s="59" t="s">
        <v>952</v>
      </c>
      <c r="I722" s="59" t="s">
        <v>953</v>
      </c>
      <c r="J722" s="61"/>
      <c r="K722" s="61"/>
      <c r="L722" s="42"/>
      <c r="M722" s="42"/>
      <c r="N722" s="42"/>
      <c r="O722" s="42"/>
      <c r="P722" s="42"/>
      <c r="Q722" s="42"/>
      <c r="R722" s="42"/>
      <c r="S722" s="42"/>
      <c r="T722" s="42"/>
      <c r="U722" s="42"/>
      <c r="V722" s="42"/>
      <c r="W722" s="42"/>
      <c r="X722" s="42"/>
      <c r="Y722" s="42"/>
      <c r="Z722" s="42"/>
    </row>
    <row r="723" ht="57.0" customHeight="1">
      <c r="A723" s="57" t="s">
        <v>247</v>
      </c>
      <c r="B723" s="57" t="s">
        <v>153</v>
      </c>
      <c r="C723" s="57" t="s">
        <v>2333</v>
      </c>
      <c r="D723" s="57" t="s">
        <v>2334</v>
      </c>
      <c r="E723" s="57"/>
      <c r="F723" s="58">
        <v>14000.0</v>
      </c>
      <c r="G723" s="57" t="s">
        <v>512</v>
      </c>
      <c r="H723" s="59" t="s">
        <v>952</v>
      </c>
      <c r="I723" s="59" t="s">
        <v>953</v>
      </c>
      <c r="J723" s="61"/>
      <c r="K723" s="61"/>
      <c r="L723" s="42"/>
      <c r="M723" s="42"/>
      <c r="N723" s="42"/>
      <c r="O723" s="42"/>
      <c r="P723" s="42"/>
      <c r="Q723" s="42"/>
      <c r="R723" s="42"/>
      <c r="S723" s="42"/>
      <c r="T723" s="42"/>
      <c r="U723" s="42"/>
      <c r="V723" s="42"/>
      <c r="W723" s="42"/>
      <c r="X723" s="42"/>
      <c r="Y723" s="42"/>
      <c r="Z723" s="42"/>
    </row>
    <row r="724" ht="57.0" customHeight="1">
      <c r="A724" s="57" t="s">
        <v>247</v>
      </c>
      <c r="B724" s="57" t="s">
        <v>153</v>
      </c>
      <c r="C724" s="57" t="s">
        <v>2335</v>
      </c>
      <c r="D724" s="57" t="s">
        <v>2336</v>
      </c>
      <c r="E724" s="57"/>
      <c r="F724" s="58">
        <v>11800.0</v>
      </c>
      <c r="G724" s="57" t="s">
        <v>251</v>
      </c>
      <c r="H724" s="59" t="s">
        <v>952</v>
      </c>
      <c r="I724" s="59" t="s">
        <v>953</v>
      </c>
      <c r="J724" s="61"/>
      <c r="K724" s="61"/>
      <c r="L724" s="42"/>
      <c r="M724" s="42"/>
      <c r="N724" s="42"/>
      <c r="O724" s="42"/>
      <c r="P724" s="42"/>
      <c r="Q724" s="42"/>
      <c r="R724" s="42"/>
      <c r="S724" s="42"/>
      <c r="T724" s="42"/>
      <c r="U724" s="42"/>
      <c r="V724" s="42"/>
      <c r="W724" s="42"/>
      <c r="X724" s="42"/>
      <c r="Y724" s="42"/>
      <c r="Z724" s="42"/>
    </row>
    <row r="725" ht="57.0" customHeight="1">
      <c r="A725" s="57" t="s">
        <v>247</v>
      </c>
      <c r="B725" s="57" t="s">
        <v>153</v>
      </c>
      <c r="C725" s="57" t="s">
        <v>2337</v>
      </c>
      <c r="D725" s="57" t="s">
        <v>2338</v>
      </c>
      <c r="E725" s="57"/>
      <c r="F725" s="58">
        <v>20000.0</v>
      </c>
      <c r="G725" s="57" t="s">
        <v>251</v>
      </c>
      <c r="H725" s="59" t="s">
        <v>952</v>
      </c>
      <c r="I725" s="59" t="s">
        <v>953</v>
      </c>
      <c r="J725" s="61"/>
      <c r="K725" s="61"/>
      <c r="L725" s="42"/>
      <c r="M725" s="42"/>
      <c r="N725" s="42"/>
      <c r="O725" s="42"/>
      <c r="P725" s="42"/>
      <c r="Q725" s="42"/>
      <c r="R725" s="42"/>
      <c r="S725" s="42"/>
      <c r="T725" s="42"/>
      <c r="U725" s="42"/>
      <c r="V725" s="42"/>
      <c r="W725" s="42"/>
      <c r="X725" s="42"/>
      <c r="Y725" s="42"/>
      <c r="Z725" s="42"/>
    </row>
    <row r="726" ht="57.0" customHeight="1">
      <c r="A726" s="57" t="s">
        <v>247</v>
      </c>
      <c r="B726" s="57" t="s">
        <v>153</v>
      </c>
      <c r="C726" s="57" t="s">
        <v>2339</v>
      </c>
      <c r="D726" s="57" t="s">
        <v>2340</v>
      </c>
      <c r="E726" s="57"/>
      <c r="F726" s="58">
        <v>64000.0</v>
      </c>
      <c r="G726" s="57" t="s">
        <v>251</v>
      </c>
      <c r="H726" s="59" t="s">
        <v>952</v>
      </c>
      <c r="I726" s="59" t="s">
        <v>953</v>
      </c>
      <c r="J726" s="61"/>
      <c r="K726" s="61"/>
      <c r="L726" s="42"/>
      <c r="M726" s="42"/>
      <c r="N726" s="42"/>
      <c r="O726" s="42"/>
      <c r="P726" s="42"/>
      <c r="Q726" s="42"/>
      <c r="R726" s="42"/>
      <c r="S726" s="42"/>
      <c r="T726" s="42"/>
      <c r="U726" s="42"/>
      <c r="V726" s="42"/>
      <c r="W726" s="42"/>
      <c r="X726" s="42"/>
      <c r="Y726" s="42"/>
      <c r="Z726" s="42"/>
    </row>
    <row r="727" ht="57.0" customHeight="1">
      <c r="A727" s="57" t="s">
        <v>247</v>
      </c>
      <c r="B727" s="57" t="s">
        <v>153</v>
      </c>
      <c r="C727" s="57" t="s">
        <v>2341</v>
      </c>
      <c r="D727" s="57" t="s">
        <v>2342</v>
      </c>
      <c r="E727" s="57" t="s">
        <v>2343</v>
      </c>
      <c r="F727" s="58">
        <v>20000.0</v>
      </c>
      <c r="G727" s="57" t="s">
        <v>251</v>
      </c>
      <c r="H727" s="59" t="s">
        <v>252</v>
      </c>
      <c r="I727" s="60" t="s">
        <v>253</v>
      </c>
      <c r="J727" s="61"/>
      <c r="K727" s="61"/>
      <c r="L727" s="42"/>
      <c r="M727" s="42"/>
      <c r="N727" s="42"/>
      <c r="O727" s="42"/>
      <c r="P727" s="42"/>
      <c r="Q727" s="42"/>
      <c r="R727" s="42"/>
      <c r="S727" s="42"/>
      <c r="T727" s="42"/>
      <c r="U727" s="42"/>
      <c r="V727" s="42"/>
      <c r="W727" s="42"/>
      <c r="X727" s="42"/>
      <c r="Y727" s="42"/>
      <c r="Z727" s="42"/>
    </row>
    <row r="728" ht="30.75" customHeight="1">
      <c r="A728" s="57" t="s">
        <v>247</v>
      </c>
      <c r="B728" s="57" t="s">
        <v>153</v>
      </c>
      <c r="C728" s="57" t="s">
        <v>2344</v>
      </c>
      <c r="D728" s="57" t="s">
        <v>2345</v>
      </c>
      <c r="E728" s="57" t="s">
        <v>2346</v>
      </c>
      <c r="F728" s="58">
        <v>90000.0</v>
      </c>
      <c r="G728" s="57" t="s">
        <v>251</v>
      </c>
      <c r="H728" s="59" t="s">
        <v>252</v>
      </c>
      <c r="I728" s="60" t="s">
        <v>253</v>
      </c>
      <c r="J728" s="61"/>
      <c r="K728" s="61"/>
      <c r="L728" s="42"/>
      <c r="M728" s="42"/>
      <c r="N728" s="42"/>
      <c r="O728" s="42"/>
      <c r="P728" s="42"/>
      <c r="Q728" s="42"/>
      <c r="R728" s="42"/>
      <c r="S728" s="42"/>
      <c r="T728" s="42"/>
      <c r="U728" s="42"/>
      <c r="V728" s="42"/>
      <c r="W728" s="42"/>
      <c r="X728" s="42"/>
      <c r="Y728" s="42"/>
      <c r="Z728" s="42"/>
    </row>
    <row r="729" ht="57.0" customHeight="1">
      <c r="A729" s="57" t="s">
        <v>247</v>
      </c>
      <c r="B729" s="57" t="s">
        <v>153</v>
      </c>
      <c r="C729" s="57" t="s">
        <v>2347</v>
      </c>
      <c r="D729" s="57" t="s">
        <v>2348</v>
      </c>
      <c r="E729" s="57" t="s">
        <v>2349</v>
      </c>
      <c r="F729" s="58">
        <v>300000.0</v>
      </c>
      <c r="G729" s="57" t="s">
        <v>467</v>
      </c>
      <c r="H729" s="59" t="s">
        <v>252</v>
      </c>
      <c r="I729" s="60" t="s">
        <v>253</v>
      </c>
      <c r="J729" s="61"/>
      <c r="K729" s="61"/>
      <c r="L729" s="42"/>
      <c r="M729" s="42"/>
      <c r="N729" s="42"/>
      <c r="O729" s="42"/>
      <c r="P729" s="42"/>
      <c r="Q729" s="42"/>
      <c r="R729" s="42"/>
      <c r="S729" s="42"/>
      <c r="T729" s="42"/>
      <c r="U729" s="42"/>
      <c r="V729" s="42"/>
      <c r="W729" s="42"/>
      <c r="X729" s="42"/>
      <c r="Y729" s="42"/>
      <c r="Z729" s="42"/>
    </row>
    <row r="730" ht="57.0" customHeight="1">
      <c r="A730" s="57" t="s">
        <v>247</v>
      </c>
      <c r="B730" s="57" t="s">
        <v>153</v>
      </c>
      <c r="C730" s="57" t="s">
        <v>2350</v>
      </c>
      <c r="D730" s="57" t="s">
        <v>2351</v>
      </c>
      <c r="E730" s="57" t="s">
        <v>2352</v>
      </c>
      <c r="F730" s="58">
        <v>350000.0</v>
      </c>
      <c r="G730" s="57" t="s">
        <v>467</v>
      </c>
      <c r="H730" s="59" t="s">
        <v>252</v>
      </c>
      <c r="I730" s="60" t="s">
        <v>253</v>
      </c>
      <c r="J730" s="61"/>
      <c r="K730" s="61"/>
      <c r="L730" s="42"/>
      <c r="M730" s="42"/>
      <c r="N730" s="42"/>
      <c r="O730" s="42"/>
      <c r="P730" s="42"/>
      <c r="Q730" s="42"/>
      <c r="R730" s="42"/>
      <c r="S730" s="42"/>
      <c r="T730" s="42"/>
      <c r="U730" s="42"/>
      <c r="V730" s="42"/>
      <c r="W730" s="42"/>
      <c r="X730" s="42"/>
      <c r="Y730" s="42"/>
      <c r="Z730" s="42"/>
    </row>
    <row r="731" ht="30.75" customHeight="1">
      <c r="A731" s="57" t="s">
        <v>247</v>
      </c>
      <c r="B731" s="57" t="s">
        <v>153</v>
      </c>
      <c r="C731" s="57" t="s">
        <v>2353</v>
      </c>
      <c r="D731" s="57" t="s">
        <v>2354</v>
      </c>
      <c r="E731" s="57" t="s">
        <v>2355</v>
      </c>
      <c r="F731" s="58">
        <v>1400000.0</v>
      </c>
      <c r="G731" s="57" t="s">
        <v>251</v>
      </c>
      <c r="H731" s="59" t="s">
        <v>252</v>
      </c>
      <c r="I731" s="60" t="s">
        <v>253</v>
      </c>
      <c r="J731" s="61"/>
      <c r="K731" s="61"/>
      <c r="L731" s="42"/>
      <c r="M731" s="42"/>
      <c r="N731" s="42"/>
      <c r="O731" s="42"/>
      <c r="P731" s="42"/>
      <c r="Q731" s="42"/>
      <c r="R731" s="42"/>
      <c r="S731" s="42"/>
      <c r="T731" s="42"/>
      <c r="U731" s="42"/>
      <c r="V731" s="42"/>
      <c r="W731" s="42"/>
      <c r="X731" s="42"/>
      <c r="Y731" s="42"/>
      <c r="Z731" s="42"/>
    </row>
    <row r="732" ht="57.0" customHeight="1">
      <c r="A732" s="57" t="s">
        <v>247</v>
      </c>
      <c r="B732" s="57" t="s">
        <v>153</v>
      </c>
      <c r="C732" s="57" t="s">
        <v>2356</v>
      </c>
      <c r="D732" s="57" t="s">
        <v>2357</v>
      </c>
      <c r="E732" s="57" t="s">
        <v>2358</v>
      </c>
      <c r="F732" s="58">
        <v>180000.0</v>
      </c>
      <c r="G732" s="57" t="s">
        <v>664</v>
      </c>
      <c r="H732" s="59" t="s">
        <v>252</v>
      </c>
      <c r="I732" s="60" t="s">
        <v>253</v>
      </c>
      <c r="J732" s="61"/>
      <c r="K732" s="61"/>
      <c r="L732" s="42"/>
      <c r="M732" s="42"/>
      <c r="N732" s="42"/>
      <c r="O732" s="42"/>
      <c r="P732" s="42"/>
      <c r="Q732" s="42"/>
      <c r="R732" s="42"/>
      <c r="S732" s="42"/>
      <c r="T732" s="42"/>
      <c r="U732" s="42"/>
      <c r="V732" s="42"/>
      <c r="W732" s="42"/>
      <c r="X732" s="42"/>
      <c r="Y732" s="42"/>
      <c r="Z732" s="42"/>
    </row>
    <row r="733" ht="57.0" customHeight="1">
      <c r="A733" s="57" t="s">
        <v>247</v>
      </c>
      <c r="B733" s="57" t="s">
        <v>153</v>
      </c>
      <c r="C733" s="57" t="s">
        <v>2359</v>
      </c>
      <c r="D733" s="57" t="s">
        <v>2360</v>
      </c>
      <c r="E733" s="57" t="s">
        <v>2361</v>
      </c>
      <c r="F733" s="58">
        <v>400000.0</v>
      </c>
      <c r="G733" s="57" t="s">
        <v>467</v>
      </c>
      <c r="H733" s="59" t="s">
        <v>252</v>
      </c>
      <c r="I733" s="60" t="s">
        <v>253</v>
      </c>
      <c r="J733" s="61"/>
      <c r="K733" s="61"/>
      <c r="L733" s="42"/>
      <c r="M733" s="42"/>
      <c r="N733" s="42"/>
      <c r="O733" s="42"/>
      <c r="P733" s="42"/>
      <c r="Q733" s="42"/>
      <c r="R733" s="42"/>
      <c r="S733" s="42"/>
      <c r="T733" s="42"/>
      <c r="U733" s="42"/>
      <c r="V733" s="42"/>
      <c r="W733" s="42"/>
      <c r="X733" s="42"/>
      <c r="Y733" s="42"/>
      <c r="Z733" s="42"/>
    </row>
    <row r="734" ht="57.0" customHeight="1">
      <c r="A734" s="57" t="s">
        <v>247</v>
      </c>
      <c r="B734" s="57" t="s">
        <v>153</v>
      </c>
      <c r="C734" s="57" t="s">
        <v>2362</v>
      </c>
      <c r="D734" s="57" t="s">
        <v>2363</v>
      </c>
      <c r="E734" s="57" t="s">
        <v>2364</v>
      </c>
      <c r="F734" s="58">
        <v>100000.0</v>
      </c>
      <c r="G734" s="57" t="s">
        <v>251</v>
      </c>
      <c r="H734" s="59" t="s">
        <v>252</v>
      </c>
      <c r="I734" s="60" t="s">
        <v>253</v>
      </c>
      <c r="J734" s="61"/>
      <c r="K734" s="61"/>
      <c r="L734" s="42"/>
      <c r="M734" s="42"/>
      <c r="N734" s="42"/>
      <c r="O734" s="42"/>
      <c r="P734" s="42"/>
      <c r="Q734" s="42"/>
      <c r="R734" s="42"/>
      <c r="S734" s="42"/>
      <c r="T734" s="42"/>
      <c r="U734" s="42"/>
      <c r="V734" s="42"/>
      <c r="W734" s="42"/>
      <c r="X734" s="42"/>
      <c r="Y734" s="42"/>
      <c r="Z734" s="42"/>
    </row>
    <row r="735" ht="57.0" customHeight="1">
      <c r="A735" s="57" t="s">
        <v>247</v>
      </c>
      <c r="B735" s="57" t="s">
        <v>153</v>
      </c>
      <c r="C735" s="57" t="s">
        <v>2365</v>
      </c>
      <c r="D735" s="57" t="s">
        <v>2366</v>
      </c>
      <c r="E735" s="57" t="s">
        <v>2367</v>
      </c>
      <c r="F735" s="58">
        <v>900000.0</v>
      </c>
      <c r="G735" s="57" t="s">
        <v>251</v>
      </c>
      <c r="H735" s="59" t="s">
        <v>252</v>
      </c>
      <c r="I735" s="60" t="s">
        <v>253</v>
      </c>
      <c r="J735" s="61"/>
      <c r="K735" s="61"/>
      <c r="L735" s="42"/>
      <c r="M735" s="42"/>
      <c r="N735" s="42"/>
      <c r="O735" s="42"/>
      <c r="P735" s="42"/>
      <c r="Q735" s="42"/>
      <c r="R735" s="42"/>
      <c r="S735" s="42"/>
      <c r="T735" s="42"/>
      <c r="U735" s="42"/>
      <c r="V735" s="42"/>
      <c r="W735" s="42"/>
      <c r="X735" s="42"/>
      <c r="Y735" s="42"/>
      <c r="Z735" s="42"/>
    </row>
    <row r="736" ht="57.0" customHeight="1">
      <c r="A736" s="57" t="s">
        <v>247</v>
      </c>
      <c r="B736" s="57" t="s">
        <v>153</v>
      </c>
      <c r="C736" s="57" t="s">
        <v>2368</v>
      </c>
      <c r="D736" s="57" t="s">
        <v>2369</v>
      </c>
      <c r="E736" s="57" t="s">
        <v>2370</v>
      </c>
      <c r="F736" s="58">
        <v>180000.0</v>
      </c>
      <c r="G736" s="57" t="s">
        <v>251</v>
      </c>
      <c r="H736" s="59" t="s">
        <v>252</v>
      </c>
      <c r="I736" s="60" t="s">
        <v>253</v>
      </c>
      <c r="J736" s="61"/>
      <c r="K736" s="61"/>
      <c r="L736" s="42"/>
      <c r="M736" s="42"/>
      <c r="N736" s="42"/>
      <c r="O736" s="42"/>
      <c r="P736" s="42"/>
      <c r="Q736" s="42"/>
      <c r="R736" s="42"/>
      <c r="S736" s="42"/>
      <c r="T736" s="42"/>
      <c r="U736" s="42"/>
      <c r="V736" s="42"/>
      <c r="W736" s="42"/>
      <c r="X736" s="42"/>
      <c r="Y736" s="42"/>
      <c r="Z736" s="42"/>
    </row>
    <row r="737" ht="57.0" customHeight="1">
      <c r="A737" s="57" t="s">
        <v>247</v>
      </c>
      <c r="B737" s="57" t="s">
        <v>153</v>
      </c>
      <c r="C737" s="57" t="s">
        <v>2371</v>
      </c>
      <c r="D737" s="57" t="s">
        <v>2372</v>
      </c>
      <c r="E737" s="57" t="s">
        <v>2373</v>
      </c>
      <c r="F737" s="58">
        <v>500000.0</v>
      </c>
      <c r="G737" s="57" t="s">
        <v>467</v>
      </c>
      <c r="H737" s="59" t="s">
        <v>252</v>
      </c>
      <c r="I737" s="60" t="s">
        <v>253</v>
      </c>
      <c r="J737" s="61"/>
      <c r="K737" s="61"/>
      <c r="L737" s="42"/>
      <c r="M737" s="42"/>
      <c r="N737" s="42"/>
      <c r="O737" s="42"/>
      <c r="P737" s="42"/>
      <c r="Q737" s="42"/>
      <c r="R737" s="42"/>
      <c r="S737" s="42"/>
      <c r="T737" s="42"/>
      <c r="U737" s="42"/>
      <c r="V737" s="42"/>
      <c r="W737" s="42"/>
      <c r="X737" s="42"/>
      <c r="Y737" s="42"/>
      <c r="Z737" s="42"/>
    </row>
    <row r="738" ht="85.5" customHeight="1">
      <c r="A738" s="57" t="s">
        <v>247</v>
      </c>
      <c r="B738" s="57" t="s">
        <v>153</v>
      </c>
      <c r="C738" s="57" t="s">
        <v>2374</v>
      </c>
      <c r="D738" s="57" t="s">
        <v>2375</v>
      </c>
      <c r="E738" s="72"/>
      <c r="F738" s="66">
        <v>60000.0</v>
      </c>
      <c r="G738" s="57" t="s">
        <v>467</v>
      </c>
      <c r="H738" s="59" t="s">
        <v>594</v>
      </c>
      <c r="I738" s="59" t="s">
        <v>2376</v>
      </c>
      <c r="J738" s="61" t="s">
        <v>2377</v>
      </c>
      <c r="K738" s="67">
        <v>25689.0</v>
      </c>
      <c r="L738" s="42"/>
      <c r="M738" s="42"/>
      <c r="N738" s="42"/>
      <c r="O738" s="42"/>
      <c r="P738" s="42"/>
      <c r="Q738" s="42"/>
      <c r="R738" s="42"/>
      <c r="S738" s="42"/>
      <c r="T738" s="42"/>
      <c r="U738" s="42"/>
      <c r="V738" s="42"/>
      <c r="W738" s="42"/>
      <c r="X738" s="42"/>
      <c r="Y738" s="42"/>
      <c r="Z738" s="42"/>
    </row>
    <row r="739" ht="28.5" customHeight="1">
      <c r="A739" s="57" t="s">
        <v>247</v>
      </c>
      <c r="B739" s="57" t="s">
        <v>153</v>
      </c>
      <c r="C739" s="57" t="s">
        <v>2378</v>
      </c>
      <c r="D739" s="57" t="s">
        <v>2379</v>
      </c>
      <c r="E739" s="57" t="s">
        <v>2380</v>
      </c>
      <c r="F739" s="58">
        <v>200000.0</v>
      </c>
      <c r="G739" s="57" t="s">
        <v>251</v>
      </c>
      <c r="H739" s="59" t="s">
        <v>252</v>
      </c>
      <c r="I739" s="59" t="s">
        <v>472</v>
      </c>
      <c r="J739" s="61"/>
      <c r="K739" s="61"/>
      <c r="L739" s="42"/>
      <c r="M739" s="42"/>
      <c r="N739" s="42"/>
      <c r="O739" s="42"/>
      <c r="P739" s="42"/>
      <c r="Q739" s="42"/>
      <c r="R739" s="42"/>
      <c r="S739" s="42"/>
      <c r="T739" s="42"/>
      <c r="U739" s="42"/>
      <c r="V739" s="42"/>
      <c r="W739" s="42"/>
      <c r="X739" s="42"/>
      <c r="Y739" s="42"/>
      <c r="Z739" s="42"/>
    </row>
    <row r="740" ht="28.5" customHeight="1">
      <c r="A740" s="57" t="s">
        <v>247</v>
      </c>
      <c r="B740" s="57" t="s">
        <v>153</v>
      </c>
      <c r="C740" s="57" t="s">
        <v>2381</v>
      </c>
      <c r="D740" s="57" t="s">
        <v>2382</v>
      </c>
      <c r="E740" s="57" t="s">
        <v>2383</v>
      </c>
      <c r="F740" s="58">
        <v>450000.0</v>
      </c>
      <c r="G740" s="57" t="s">
        <v>251</v>
      </c>
      <c r="H740" s="59" t="s">
        <v>252</v>
      </c>
      <c r="I740" s="59" t="s">
        <v>472</v>
      </c>
      <c r="J740" s="61"/>
      <c r="K740" s="61"/>
      <c r="L740" s="42"/>
      <c r="M740" s="42"/>
      <c r="N740" s="42"/>
      <c r="O740" s="42"/>
      <c r="P740" s="42"/>
      <c r="Q740" s="42"/>
      <c r="R740" s="42"/>
      <c r="S740" s="42"/>
      <c r="T740" s="42"/>
      <c r="U740" s="42"/>
      <c r="V740" s="42"/>
      <c r="W740" s="42"/>
      <c r="X740" s="42"/>
      <c r="Y740" s="42"/>
      <c r="Z740" s="42"/>
    </row>
    <row r="741" ht="28.5" customHeight="1">
      <c r="A741" s="57" t="s">
        <v>247</v>
      </c>
      <c r="B741" s="57" t="s">
        <v>153</v>
      </c>
      <c r="C741" s="57" t="s">
        <v>2384</v>
      </c>
      <c r="D741" s="57" t="s">
        <v>2385</v>
      </c>
      <c r="E741" s="57" t="s">
        <v>2386</v>
      </c>
      <c r="F741" s="58">
        <v>280000.0</v>
      </c>
      <c r="G741" s="57" t="s">
        <v>2387</v>
      </c>
      <c r="H741" s="59" t="s">
        <v>252</v>
      </c>
      <c r="I741" s="59" t="s">
        <v>472</v>
      </c>
      <c r="J741" s="61"/>
      <c r="K741" s="61"/>
      <c r="L741" s="42"/>
      <c r="M741" s="42"/>
      <c r="N741" s="42"/>
      <c r="O741" s="42"/>
      <c r="P741" s="42"/>
      <c r="Q741" s="42"/>
      <c r="R741" s="42"/>
      <c r="S741" s="42"/>
      <c r="T741" s="42"/>
      <c r="U741" s="42"/>
      <c r="V741" s="42"/>
      <c r="W741" s="42"/>
      <c r="X741" s="42"/>
      <c r="Y741" s="42"/>
      <c r="Z741" s="42"/>
    </row>
    <row r="742" ht="28.5" customHeight="1">
      <c r="A742" s="57" t="s">
        <v>247</v>
      </c>
      <c r="B742" s="57" t="s">
        <v>153</v>
      </c>
      <c r="C742" s="57" t="s">
        <v>2388</v>
      </c>
      <c r="D742" s="57" t="s">
        <v>2389</v>
      </c>
      <c r="E742" s="57" t="s">
        <v>2390</v>
      </c>
      <c r="F742" s="58">
        <v>50000.0</v>
      </c>
      <c r="G742" s="57" t="s">
        <v>512</v>
      </c>
      <c r="H742" s="59" t="s">
        <v>252</v>
      </c>
      <c r="I742" s="59" t="s">
        <v>472</v>
      </c>
      <c r="J742" s="61"/>
      <c r="K742" s="61"/>
      <c r="L742" s="42"/>
      <c r="M742" s="42"/>
      <c r="N742" s="42"/>
      <c r="O742" s="42"/>
      <c r="P742" s="42"/>
      <c r="Q742" s="42"/>
      <c r="R742" s="42"/>
      <c r="S742" s="42"/>
      <c r="T742" s="42"/>
      <c r="U742" s="42"/>
      <c r="V742" s="42"/>
      <c r="W742" s="42"/>
      <c r="X742" s="42"/>
      <c r="Y742" s="42"/>
      <c r="Z742" s="42"/>
    </row>
    <row r="743" ht="57.0" customHeight="1">
      <c r="A743" s="57" t="s">
        <v>247</v>
      </c>
      <c r="B743" s="57" t="s">
        <v>153</v>
      </c>
      <c r="C743" s="57" t="s">
        <v>2391</v>
      </c>
      <c r="D743" s="57" t="s">
        <v>2392</v>
      </c>
      <c r="E743" s="57" t="s">
        <v>2393</v>
      </c>
      <c r="F743" s="58">
        <v>540000.0</v>
      </c>
      <c r="G743" s="57" t="s">
        <v>467</v>
      </c>
      <c r="H743" s="59" t="s">
        <v>252</v>
      </c>
      <c r="I743" s="59" t="s">
        <v>472</v>
      </c>
      <c r="J743" s="61"/>
      <c r="K743" s="61"/>
      <c r="L743" s="42"/>
      <c r="M743" s="42"/>
      <c r="N743" s="42"/>
      <c r="O743" s="42"/>
      <c r="P743" s="42"/>
      <c r="Q743" s="42"/>
      <c r="R743" s="42"/>
      <c r="S743" s="42"/>
      <c r="T743" s="42"/>
      <c r="U743" s="42"/>
      <c r="V743" s="42"/>
      <c r="W743" s="42"/>
      <c r="X743" s="42"/>
      <c r="Y743" s="42"/>
      <c r="Z743" s="42"/>
    </row>
    <row r="744" ht="30.75" customHeight="1">
      <c r="A744" s="57" t="s">
        <v>247</v>
      </c>
      <c r="B744" s="57" t="s">
        <v>153</v>
      </c>
      <c r="C744" s="57" t="s">
        <v>2394</v>
      </c>
      <c r="D744" s="57" t="s">
        <v>2395</v>
      </c>
      <c r="E744" s="57" t="s">
        <v>2396</v>
      </c>
      <c r="F744" s="58">
        <v>50000.0</v>
      </c>
      <c r="G744" s="57" t="s">
        <v>512</v>
      </c>
      <c r="H744" s="59" t="s">
        <v>252</v>
      </c>
      <c r="I744" s="59" t="s">
        <v>472</v>
      </c>
      <c r="J744" s="61"/>
      <c r="K744" s="61"/>
      <c r="L744" s="42"/>
      <c r="M744" s="42"/>
      <c r="N744" s="42"/>
      <c r="O744" s="42"/>
      <c r="P744" s="42"/>
      <c r="Q744" s="42"/>
      <c r="R744" s="42"/>
      <c r="S744" s="42"/>
      <c r="T744" s="42"/>
      <c r="U744" s="42"/>
      <c r="V744" s="42"/>
      <c r="W744" s="42"/>
      <c r="X744" s="42"/>
      <c r="Y744" s="42"/>
      <c r="Z744" s="42"/>
    </row>
    <row r="745" ht="30.75" customHeight="1">
      <c r="A745" s="57" t="s">
        <v>247</v>
      </c>
      <c r="B745" s="57" t="s">
        <v>153</v>
      </c>
      <c r="C745" s="57" t="s">
        <v>2397</v>
      </c>
      <c r="D745" s="57" t="s">
        <v>2398</v>
      </c>
      <c r="E745" s="57" t="s">
        <v>2399</v>
      </c>
      <c r="F745" s="58">
        <v>2500000.0</v>
      </c>
      <c r="G745" s="57" t="s">
        <v>467</v>
      </c>
      <c r="H745" s="59" t="s">
        <v>252</v>
      </c>
      <c r="I745" s="59" t="s">
        <v>635</v>
      </c>
      <c r="J745" s="61"/>
      <c r="K745" s="61"/>
      <c r="L745" s="42"/>
      <c r="M745" s="42"/>
      <c r="N745" s="42"/>
      <c r="O745" s="42"/>
      <c r="P745" s="42"/>
      <c r="Q745" s="42"/>
      <c r="R745" s="42"/>
      <c r="S745" s="42"/>
      <c r="T745" s="42"/>
      <c r="U745" s="42"/>
      <c r="V745" s="42"/>
      <c r="W745" s="42"/>
      <c r="X745" s="42"/>
      <c r="Y745" s="42"/>
      <c r="Z745" s="42"/>
    </row>
    <row r="746" ht="30.75" customHeight="1">
      <c r="A746" s="57" t="s">
        <v>247</v>
      </c>
      <c r="B746" s="57" t="s">
        <v>153</v>
      </c>
      <c r="C746" s="57" t="s">
        <v>2400</v>
      </c>
      <c r="D746" s="57" t="s">
        <v>2401</v>
      </c>
      <c r="E746" s="57"/>
      <c r="F746" s="58">
        <v>180000.0</v>
      </c>
      <c r="G746" s="57" t="s">
        <v>251</v>
      </c>
      <c r="H746" s="59" t="s">
        <v>252</v>
      </c>
      <c r="I746" s="59" t="s">
        <v>272</v>
      </c>
      <c r="J746" s="61"/>
      <c r="K746" s="61"/>
      <c r="L746" s="42"/>
      <c r="M746" s="42"/>
      <c r="N746" s="42"/>
      <c r="O746" s="42"/>
      <c r="P746" s="42"/>
      <c r="Q746" s="42"/>
      <c r="R746" s="42"/>
      <c r="S746" s="42"/>
      <c r="T746" s="42"/>
      <c r="U746" s="42"/>
      <c r="V746" s="42"/>
      <c r="W746" s="42"/>
      <c r="X746" s="42"/>
      <c r="Y746" s="42"/>
      <c r="Z746" s="42"/>
    </row>
    <row r="747" ht="30.75" customHeight="1">
      <c r="A747" s="57" t="s">
        <v>247</v>
      </c>
      <c r="B747" s="57" t="s">
        <v>153</v>
      </c>
      <c r="C747" s="57" t="s">
        <v>2402</v>
      </c>
      <c r="D747" s="57" t="s">
        <v>2403</v>
      </c>
      <c r="E747" s="57"/>
      <c r="F747" s="58">
        <v>100000.0</v>
      </c>
      <c r="G747" s="57" t="s">
        <v>251</v>
      </c>
      <c r="H747" s="59" t="s">
        <v>252</v>
      </c>
      <c r="I747" s="59" t="s">
        <v>272</v>
      </c>
      <c r="J747" s="61"/>
      <c r="K747" s="61"/>
      <c r="L747" s="42"/>
      <c r="M747" s="42"/>
      <c r="N747" s="42"/>
      <c r="O747" s="42"/>
      <c r="P747" s="42"/>
      <c r="Q747" s="42"/>
      <c r="R747" s="42"/>
      <c r="S747" s="42"/>
      <c r="T747" s="42"/>
      <c r="U747" s="42"/>
      <c r="V747" s="42"/>
      <c r="W747" s="42"/>
      <c r="X747" s="42"/>
      <c r="Y747" s="42"/>
      <c r="Z747" s="42"/>
    </row>
    <row r="748" ht="30.75" customHeight="1">
      <c r="A748" s="57" t="s">
        <v>247</v>
      </c>
      <c r="B748" s="57" t="s">
        <v>153</v>
      </c>
      <c r="C748" s="57" t="s">
        <v>2404</v>
      </c>
      <c r="D748" s="57" t="s">
        <v>2405</v>
      </c>
      <c r="E748" s="57"/>
      <c r="F748" s="58">
        <v>120000.0</v>
      </c>
      <c r="G748" s="57" t="s">
        <v>251</v>
      </c>
      <c r="H748" s="59" t="s">
        <v>252</v>
      </c>
      <c r="I748" s="59" t="s">
        <v>272</v>
      </c>
      <c r="J748" s="61"/>
      <c r="K748" s="61"/>
      <c r="L748" s="42"/>
      <c r="M748" s="42"/>
      <c r="N748" s="42"/>
      <c r="O748" s="42"/>
      <c r="P748" s="42"/>
      <c r="Q748" s="42"/>
      <c r="R748" s="42"/>
      <c r="S748" s="42"/>
      <c r="T748" s="42"/>
      <c r="U748" s="42"/>
      <c r="V748" s="42"/>
      <c r="W748" s="42"/>
      <c r="X748" s="42"/>
      <c r="Y748" s="42"/>
      <c r="Z748" s="42"/>
    </row>
    <row r="749" ht="30.75" customHeight="1">
      <c r="A749" s="52" t="s">
        <v>247</v>
      </c>
      <c r="B749" s="52" t="s">
        <v>156</v>
      </c>
      <c r="C749" s="52" t="s">
        <v>157</v>
      </c>
      <c r="D749" s="52" t="s">
        <v>158</v>
      </c>
      <c r="E749" s="52"/>
      <c r="F749" s="62"/>
      <c r="G749" s="52"/>
      <c r="H749" s="63"/>
      <c r="I749" s="63"/>
      <c r="J749" s="54"/>
      <c r="K749" s="54"/>
      <c r="L749" s="56"/>
      <c r="M749" s="56"/>
      <c r="N749" s="56"/>
      <c r="O749" s="56"/>
      <c r="P749" s="56"/>
      <c r="Q749" s="56"/>
      <c r="R749" s="56"/>
      <c r="S749" s="56"/>
      <c r="T749" s="56"/>
      <c r="U749" s="56"/>
      <c r="V749" s="56"/>
      <c r="W749" s="56"/>
      <c r="X749" s="56"/>
      <c r="Y749" s="56"/>
      <c r="Z749" s="56"/>
    </row>
    <row r="750" ht="57.0" customHeight="1">
      <c r="A750" s="57" t="s">
        <v>247</v>
      </c>
      <c r="B750" s="57" t="s">
        <v>156</v>
      </c>
      <c r="C750" s="57" t="s">
        <v>2406</v>
      </c>
      <c r="D750" s="57" t="s">
        <v>2407</v>
      </c>
      <c r="E750" s="57" t="s">
        <v>2408</v>
      </c>
      <c r="F750" s="58">
        <v>1800000.0</v>
      </c>
      <c r="G750" s="57" t="s">
        <v>251</v>
      </c>
      <c r="H750" s="59" t="s">
        <v>252</v>
      </c>
      <c r="I750" s="60" t="s">
        <v>253</v>
      </c>
      <c r="J750" s="61"/>
      <c r="K750" s="61"/>
      <c r="L750" s="42"/>
      <c r="M750" s="42"/>
      <c r="N750" s="42"/>
      <c r="O750" s="42"/>
      <c r="P750" s="42"/>
      <c r="Q750" s="42"/>
      <c r="R750" s="42"/>
      <c r="S750" s="42"/>
      <c r="T750" s="42"/>
      <c r="U750" s="42"/>
      <c r="V750" s="42"/>
      <c r="W750" s="42"/>
      <c r="X750" s="42"/>
      <c r="Y750" s="42"/>
      <c r="Z750" s="42"/>
    </row>
    <row r="751" ht="57.0" customHeight="1">
      <c r="A751" s="57" t="s">
        <v>247</v>
      </c>
      <c r="B751" s="57" t="s">
        <v>156</v>
      </c>
      <c r="C751" s="57" t="s">
        <v>2409</v>
      </c>
      <c r="D751" s="57" t="s">
        <v>2410</v>
      </c>
      <c r="E751" s="57" t="s">
        <v>2411</v>
      </c>
      <c r="F751" s="58">
        <v>1860000.0</v>
      </c>
      <c r="G751" s="57" t="s">
        <v>251</v>
      </c>
      <c r="H751" s="59" t="s">
        <v>252</v>
      </c>
      <c r="I751" s="60" t="s">
        <v>253</v>
      </c>
      <c r="J751" s="61"/>
      <c r="K751" s="61"/>
      <c r="L751" s="42"/>
      <c r="M751" s="42"/>
      <c r="N751" s="42"/>
      <c r="O751" s="42"/>
      <c r="P751" s="42"/>
      <c r="Q751" s="42"/>
      <c r="R751" s="42"/>
      <c r="S751" s="42"/>
      <c r="T751" s="42"/>
      <c r="U751" s="42"/>
      <c r="V751" s="42"/>
      <c r="W751" s="42"/>
      <c r="X751" s="42"/>
      <c r="Y751" s="42"/>
      <c r="Z751" s="42"/>
    </row>
    <row r="752" ht="30.75" customHeight="1">
      <c r="A752" s="57" t="s">
        <v>247</v>
      </c>
      <c r="B752" s="57" t="s">
        <v>156</v>
      </c>
      <c r="C752" s="57" t="s">
        <v>2412</v>
      </c>
      <c r="D752" s="57" t="s">
        <v>2413</v>
      </c>
      <c r="E752" s="57" t="s">
        <v>2414</v>
      </c>
      <c r="F752" s="58">
        <v>530000.0</v>
      </c>
      <c r="G752" s="57" t="s">
        <v>251</v>
      </c>
      <c r="H752" s="59" t="s">
        <v>252</v>
      </c>
      <c r="I752" s="60" t="s">
        <v>253</v>
      </c>
      <c r="J752" s="61"/>
      <c r="K752" s="61"/>
      <c r="L752" s="42"/>
      <c r="M752" s="42"/>
      <c r="N752" s="42"/>
      <c r="O752" s="42"/>
      <c r="P752" s="42"/>
      <c r="Q752" s="42"/>
      <c r="R752" s="42"/>
      <c r="S752" s="42"/>
      <c r="T752" s="42"/>
      <c r="U752" s="42"/>
      <c r="V752" s="42"/>
      <c r="W752" s="42"/>
      <c r="X752" s="42"/>
      <c r="Y752" s="42"/>
      <c r="Z752" s="42"/>
    </row>
    <row r="753" ht="57.0" customHeight="1">
      <c r="A753" s="57" t="s">
        <v>247</v>
      </c>
      <c r="B753" s="57" t="s">
        <v>156</v>
      </c>
      <c r="C753" s="57" t="s">
        <v>2415</v>
      </c>
      <c r="D753" s="57" t="s">
        <v>2416</v>
      </c>
      <c r="E753" s="57" t="s">
        <v>2417</v>
      </c>
      <c r="F753" s="58">
        <v>1000000.0</v>
      </c>
      <c r="G753" s="57" t="s">
        <v>251</v>
      </c>
      <c r="H753" s="59" t="s">
        <v>252</v>
      </c>
      <c r="I753" s="60" t="s">
        <v>253</v>
      </c>
      <c r="J753" s="61"/>
      <c r="K753" s="61"/>
      <c r="L753" s="42"/>
      <c r="M753" s="42"/>
      <c r="N753" s="42"/>
      <c r="O753" s="42"/>
      <c r="P753" s="42"/>
      <c r="Q753" s="42"/>
      <c r="R753" s="42"/>
      <c r="S753" s="42"/>
      <c r="T753" s="42"/>
      <c r="U753" s="42"/>
      <c r="V753" s="42"/>
      <c r="W753" s="42"/>
      <c r="X753" s="42"/>
      <c r="Y753" s="42"/>
      <c r="Z753" s="42"/>
    </row>
    <row r="754" ht="57.0" customHeight="1">
      <c r="A754" s="57" t="s">
        <v>247</v>
      </c>
      <c r="B754" s="57" t="s">
        <v>156</v>
      </c>
      <c r="C754" s="57" t="s">
        <v>2418</v>
      </c>
      <c r="D754" s="57" t="s">
        <v>2419</v>
      </c>
      <c r="E754" s="57" t="s">
        <v>2420</v>
      </c>
      <c r="F754" s="58">
        <v>500000.0</v>
      </c>
      <c r="G754" s="57" t="s">
        <v>251</v>
      </c>
      <c r="H754" s="59" t="s">
        <v>252</v>
      </c>
      <c r="I754" s="60" t="s">
        <v>253</v>
      </c>
      <c r="J754" s="61"/>
      <c r="K754" s="61"/>
      <c r="L754" s="42"/>
      <c r="M754" s="42"/>
      <c r="N754" s="42"/>
      <c r="O754" s="42"/>
      <c r="P754" s="42"/>
      <c r="Q754" s="42"/>
      <c r="R754" s="42"/>
      <c r="S754" s="42"/>
      <c r="T754" s="42"/>
      <c r="U754" s="42"/>
      <c r="V754" s="42"/>
      <c r="W754" s="42"/>
      <c r="X754" s="42"/>
      <c r="Y754" s="42"/>
      <c r="Z754" s="42"/>
    </row>
    <row r="755" ht="57.0" customHeight="1">
      <c r="A755" s="57" t="s">
        <v>247</v>
      </c>
      <c r="B755" s="57" t="s">
        <v>156</v>
      </c>
      <c r="C755" s="57" t="s">
        <v>2421</v>
      </c>
      <c r="D755" s="57" t="s">
        <v>2422</v>
      </c>
      <c r="E755" s="57" t="s">
        <v>2423</v>
      </c>
      <c r="F755" s="58">
        <v>370000.0</v>
      </c>
      <c r="G755" s="57" t="s">
        <v>251</v>
      </c>
      <c r="H755" s="59" t="s">
        <v>252</v>
      </c>
      <c r="I755" s="60" t="s">
        <v>253</v>
      </c>
      <c r="J755" s="61"/>
      <c r="K755" s="61"/>
      <c r="L755" s="42"/>
      <c r="M755" s="42"/>
      <c r="N755" s="42"/>
      <c r="O755" s="42"/>
      <c r="P755" s="42"/>
      <c r="Q755" s="42"/>
      <c r="R755" s="42"/>
      <c r="S755" s="42"/>
      <c r="T755" s="42"/>
      <c r="U755" s="42"/>
      <c r="V755" s="42"/>
      <c r="W755" s="42"/>
      <c r="X755" s="42"/>
      <c r="Y755" s="42"/>
      <c r="Z755" s="42"/>
    </row>
    <row r="756" ht="57.0" customHeight="1">
      <c r="A756" s="57" t="s">
        <v>247</v>
      </c>
      <c r="B756" s="57" t="s">
        <v>156</v>
      </c>
      <c r="C756" s="57" t="s">
        <v>2424</v>
      </c>
      <c r="D756" s="57" t="s">
        <v>2425</v>
      </c>
      <c r="E756" s="57" t="s">
        <v>2426</v>
      </c>
      <c r="F756" s="58">
        <v>650000.0</v>
      </c>
      <c r="G756" s="57" t="s">
        <v>251</v>
      </c>
      <c r="H756" s="59" t="s">
        <v>252</v>
      </c>
      <c r="I756" s="60" t="s">
        <v>253</v>
      </c>
      <c r="J756" s="61"/>
      <c r="K756" s="61"/>
      <c r="L756" s="42"/>
      <c r="M756" s="42"/>
      <c r="N756" s="42"/>
      <c r="O756" s="42"/>
      <c r="P756" s="42"/>
      <c r="Q756" s="42"/>
      <c r="R756" s="42"/>
      <c r="S756" s="42"/>
      <c r="T756" s="42"/>
      <c r="U756" s="42"/>
      <c r="V756" s="42"/>
      <c r="W756" s="42"/>
      <c r="X756" s="42"/>
      <c r="Y756" s="42"/>
      <c r="Z756" s="42"/>
    </row>
    <row r="757" ht="30.75" customHeight="1">
      <c r="A757" s="57" t="s">
        <v>247</v>
      </c>
      <c r="B757" s="57" t="s">
        <v>156</v>
      </c>
      <c r="C757" s="57" t="s">
        <v>2427</v>
      </c>
      <c r="D757" s="57" t="s">
        <v>2428</v>
      </c>
      <c r="E757" s="57" t="s">
        <v>2429</v>
      </c>
      <c r="F757" s="58">
        <v>7000000.0</v>
      </c>
      <c r="G757" s="57" t="s">
        <v>251</v>
      </c>
      <c r="H757" s="59" t="s">
        <v>252</v>
      </c>
      <c r="I757" s="60" t="s">
        <v>253</v>
      </c>
      <c r="J757" s="61"/>
      <c r="K757" s="61"/>
      <c r="L757" s="42"/>
      <c r="M757" s="42"/>
      <c r="N757" s="42"/>
      <c r="O757" s="42"/>
      <c r="P757" s="42"/>
      <c r="Q757" s="42"/>
      <c r="R757" s="42"/>
      <c r="S757" s="42"/>
      <c r="T757" s="42"/>
      <c r="U757" s="42"/>
      <c r="V757" s="42"/>
      <c r="W757" s="42"/>
      <c r="X757" s="42"/>
      <c r="Y757" s="42"/>
      <c r="Z757" s="42"/>
    </row>
    <row r="758" ht="57.0" customHeight="1">
      <c r="A758" s="57" t="s">
        <v>247</v>
      </c>
      <c r="B758" s="57" t="s">
        <v>156</v>
      </c>
      <c r="C758" s="57" t="s">
        <v>2430</v>
      </c>
      <c r="D758" s="57" t="s">
        <v>2431</v>
      </c>
      <c r="E758" s="57" t="s">
        <v>2432</v>
      </c>
      <c r="F758" s="58">
        <v>350000.0</v>
      </c>
      <c r="G758" s="57" t="s">
        <v>251</v>
      </c>
      <c r="H758" s="59" t="s">
        <v>252</v>
      </c>
      <c r="I758" s="60" t="s">
        <v>253</v>
      </c>
      <c r="J758" s="61"/>
      <c r="K758" s="61"/>
      <c r="L758" s="42"/>
      <c r="M758" s="42"/>
      <c r="N758" s="42"/>
      <c r="O758" s="42"/>
      <c r="P758" s="42"/>
      <c r="Q758" s="42"/>
      <c r="R758" s="42"/>
      <c r="S758" s="42"/>
      <c r="T758" s="42"/>
      <c r="U758" s="42"/>
      <c r="V758" s="42"/>
      <c r="W758" s="42"/>
      <c r="X758" s="42"/>
      <c r="Y758" s="42"/>
      <c r="Z758" s="42"/>
    </row>
    <row r="759" ht="30.75" customHeight="1">
      <c r="A759" s="57" t="s">
        <v>247</v>
      </c>
      <c r="B759" s="57" t="s">
        <v>156</v>
      </c>
      <c r="C759" s="57" t="s">
        <v>2433</v>
      </c>
      <c r="D759" s="57" t="s">
        <v>2434</v>
      </c>
      <c r="E759" s="57" t="s">
        <v>2435</v>
      </c>
      <c r="F759" s="58">
        <v>1450000.0</v>
      </c>
      <c r="G759" s="57" t="s">
        <v>251</v>
      </c>
      <c r="H759" s="59" t="s">
        <v>252</v>
      </c>
      <c r="I759" s="60" t="s">
        <v>253</v>
      </c>
      <c r="J759" s="61"/>
      <c r="K759" s="61"/>
      <c r="L759" s="42"/>
      <c r="M759" s="42"/>
      <c r="N759" s="42"/>
      <c r="O759" s="42"/>
      <c r="P759" s="42"/>
      <c r="Q759" s="42"/>
      <c r="R759" s="42"/>
      <c r="S759" s="42"/>
      <c r="T759" s="42"/>
      <c r="U759" s="42"/>
      <c r="V759" s="42"/>
      <c r="W759" s="42"/>
      <c r="X759" s="42"/>
      <c r="Y759" s="42"/>
      <c r="Z759" s="42"/>
    </row>
    <row r="760" ht="30.75" customHeight="1">
      <c r="A760" s="57" t="s">
        <v>247</v>
      </c>
      <c r="B760" s="57" t="s">
        <v>156</v>
      </c>
      <c r="C760" s="57" t="s">
        <v>2436</v>
      </c>
      <c r="D760" s="57" t="s">
        <v>2437</v>
      </c>
      <c r="E760" s="57" t="s">
        <v>2438</v>
      </c>
      <c r="F760" s="58">
        <v>3425000.0</v>
      </c>
      <c r="G760" s="57" t="s">
        <v>251</v>
      </c>
      <c r="H760" s="59" t="s">
        <v>252</v>
      </c>
      <c r="I760" s="60" t="s">
        <v>253</v>
      </c>
      <c r="J760" s="61"/>
      <c r="K760" s="61"/>
      <c r="L760" s="42"/>
      <c r="M760" s="42"/>
      <c r="N760" s="42"/>
      <c r="O760" s="42"/>
      <c r="P760" s="42"/>
      <c r="Q760" s="42"/>
      <c r="R760" s="42"/>
      <c r="S760" s="42"/>
      <c r="T760" s="42"/>
      <c r="U760" s="42"/>
      <c r="V760" s="42"/>
      <c r="W760" s="42"/>
      <c r="X760" s="42"/>
      <c r="Y760" s="42"/>
      <c r="Z760" s="42"/>
    </row>
    <row r="761" ht="30.75" customHeight="1">
      <c r="A761" s="57" t="s">
        <v>247</v>
      </c>
      <c r="B761" s="57" t="s">
        <v>156</v>
      </c>
      <c r="C761" s="57" t="s">
        <v>2439</v>
      </c>
      <c r="D761" s="57" t="s">
        <v>2440</v>
      </c>
      <c r="E761" s="57" t="s">
        <v>2441</v>
      </c>
      <c r="F761" s="58">
        <v>1550000.0</v>
      </c>
      <c r="G761" s="57" t="s">
        <v>467</v>
      </c>
      <c r="H761" s="59" t="s">
        <v>252</v>
      </c>
      <c r="I761" s="60" t="s">
        <v>253</v>
      </c>
      <c r="J761" s="61"/>
      <c r="K761" s="61"/>
      <c r="L761" s="42"/>
      <c r="M761" s="42"/>
      <c r="N761" s="42"/>
      <c r="O761" s="42"/>
      <c r="P761" s="42"/>
      <c r="Q761" s="42"/>
      <c r="R761" s="42"/>
      <c r="S761" s="42"/>
      <c r="T761" s="42"/>
      <c r="U761" s="42"/>
      <c r="V761" s="42"/>
      <c r="W761" s="42"/>
      <c r="X761" s="42"/>
      <c r="Y761" s="42"/>
      <c r="Z761" s="42"/>
    </row>
    <row r="762" ht="57.0" customHeight="1">
      <c r="A762" s="57" t="s">
        <v>247</v>
      </c>
      <c r="B762" s="57" t="s">
        <v>156</v>
      </c>
      <c r="C762" s="57" t="s">
        <v>2442</v>
      </c>
      <c r="D762" s="57" t="s">
        <v>2443</v>
      </c>
      <c r="E762" s="57" t="s">
        <v>2444</v>
      </c>
      <c r="F762" s="58">
        <v>535000.0</v>
      </c>
      <c r="G762" s="57" t="s">
        <v>467</v>
      </c>
      <c r="H762" s="59" t="s">
        <v>252</v>
      </c>
      <c r="I762" s="60" t="s">
        <v>253</v>
      </c>
      <c r="J762" s="61"/>
      <c r="K762" s="61"/>
      <c r="L762" s="42"/>
      <c r="M762" s="42"/>
      <c r="N762" s="42"/>
      <c r="O762" s="42"/>
      <c r="P762" s="42"/>
      <c r="Q762" s="42"/>
      <c r="R762" s="42"/>
      <c r="S762" s="42"/>
      <c r="T762" s="42"/>
      <c r="U762" s="42"/>
      <c r="V762" s="42"/>
      <c r="W762" s="42"/>
      <c r="X762" s="42"/>
      <c r="Y762" s="42"/>
      <c r="Z762" s="42"/>
    </row>
    <row r="763" ht="57.0" customHeight="1">
      <c r="A763" s="57" t="s">
        <v>247</v>
      </c>
      <c r="B763" s="57" t="s">
        <v>156</v>
      </c>
      <c r="C763" s="57" t="s">
        <v>2445</v>
      </c>
      <c r="D763" s="57" t="s">
        <v>2446</v>
      </c>
      <c r="E763" s="57" t="s">
        <v>2447</v>
      </c>
      <c r="F763" s="58">
        <v>700000.0</v>
      </c>
      <c r="G763" s="57" t="s">
        <v>467</v>
      </c>
      <c r="H763" s="59" t="s">
        <v>252</v>
      </c>
      <c r="I763" s="60" t="s">
        <v>253</v>
      </c>
      <c r="J763" s="61"/>
      <c r="K763" s="61"/>
      <c r="L763" s="42"/>
      <c r="M763" s="42"/>
      <c r="N763" s="42"/>
      <c r="O763" s="42"/>
      <c r="P763" s="42"/>
      <c r="Q763" s="42"/>
      <c r="R763" s="42"/>
      <c r="S763" s="42"/>
      <c r="T763" s="42"/>
      <c r="U763" s="42"/>
      <c r="V763" s="42"/>
      <c r="W763" s="42"/>
      <c r="X763" s="42"/>
      <c r="Y763" s="42"/>
      <c r="Z763" s="42"/>
    </row>
    <row r="764" ht="57.0" customHeight="1">
      <c r="A764" s="57" t="s">
        <v>247</v>
      </c>
      <c r="B764" s="57" t="s">
        <v>156</v>
      </c>
      <c r="C764" s="57" t="s">
        <v>2448</v>
      </c>
      <c r="D764" s="57" t="s">
        <v>2449</v>
      </c>
      <c r="E764" s="57" t="s">
        <v>2450</v>
      </c>
      <c r="F764" s="58">
        <v>1600000.0</v>
      </c>
      <c r="G764" s="57" t="s">
        <v>467</v>
      </c>
      <c r="H764" s="59" t="s">
        <v>252</v>
      </c>
      <c r="I764" s="60" t="s">
        <v>253</v>
      </c>
      <c r="J764" s="61"/>
      <c r="K764" s="61"/>
      <c r="L764" s="42"/>
      <c r="M764" s="42"/>
      <c r="N764" s="42"/>
      <c r="O764" s="42"/>
      <c r="P764" s="42"/>
      <c r="Q764" s="42"/>
      <c r="R764" s="42"/>
      <c r="S764" s="42"/>
      <c r="T764" s="42"/>
      <c r="U764" s="42"/>
      <c r="V764" s="42"/>
      <c r="W764" s="42"/>
      <c r="X764" s="42"/>
      <c r="Y764" s="42"/>
      <c r="Z764" s="42"/>
    </row>
    <row r="765" ht="85.5" customHeight="1">
      <c r="A765" s="57" t="s">
        <v>247</v>
      </c>
      <c r="B765" s="57" t="s">
        <v>156</v>
      </c>
      <c r="C765" s="57" t="s">
        <v>2451</v>
      </c>
      <c r="D765" s="57" t="s">
        <v>2452</v>
      </c>
      <c r="E765" s="57" t="s">
        <v>2453</v>
      </c>
      <c r="F765" s="58">
        <v>900000.0</v>
      </c>
      <c r="G765" s="57" t="s">
        <v>467</v>
      </c>
      <c r="H765" s="59" t="s">
        <v>252</v>
      </c>
      <c r="I765" s="60" t="s">
        <v>253</v>
      </c>
      <c r="J765" s="61"/>
      <c r="K765" s="61"/>
      <c r="L765" s="42"/>
      <c r="M765" s="42"/>
      <c r="N765" s="42"/>
      <c r="O765" s="42"/>
      <c r="P765" s="42"/>
      <c r="Q765" s="42"/>
      <c r="R765" s="42"/>
      <c r="S765" s="42"/>
      <c r="T765" s="42"/>
      <c r="U765" s="42"/>
      <c r="V765" s="42"/>
      <c r="W765" s="42"/>
      <c r="X765" s="42"/>
      <c r="Y765" s="42"/>
      <c r="Z765" s="42"/>
    </row>
    <row r="766" ht="57.0" customHeight="1">
      <c r="A766" s="57" t="s">
        <v>247</v>
      </c>
      <c r="B766" s="57" t="s">
        <v>156</v>
      </c>
      <c r="C766" s="57" t="s">
        <v>2454</v>
      </c>
      <c r="D766" s="57" t="s">
        <v>2455</v>
      </c>
      <c r="E766" s="57" t="s">
        <v>2456</v>
      </c>
      <c r="F766" s="58">
        <v>650000.0</v>
      </c>
      <c r="G766" s="57" t="s">
        <v>467</v>
      </c>
      <c r="H766" s="59" t="s">
        <v>252</v>
      </c>
      <c r="I766" s="60" t="s">
        <v>253</v>
      </c>
      <c r="J766" s="61"/>
      <c r="K766" s="61"/>
      <c r="L766" s="42"/>
      <c r="M766" s="42"/>
      <c r="N766" s="42"/>
      <c r="O766" s="42"/>
      <c r="P766" s="42"/>
      <c r="Q766" s="42"/>
      <c r="R766" s="42"/>
      <c r="S766" s="42"/>
      <c r="T766" s="42"/>
      <c r="U766" s="42"/>
      <c r="V766" s="42"/>
      <c r="W766" s="42"/>
      <c r="X766" s="42"/>
      <c r="Y766" s="42"/>
      <c r="Z766" s="42"/>
    </row>
    <row r="767" ht="57.0" customHeight="1">
      <c r="A767" s="57" t="s">
        <v>247</v>
      </c>
      <c r="B767" s="57" t="s">
        <v>156</v>
      </c>
      <c r="C767" s="57" t="s">
        <v>2457</v>
      </c>
      <c r="D767" s="57" t="s">
        <v>2458</v>
      </c>
      <c r="E767" s="57" t="s">
        <v>2459</v>
      </c>
      <c r="F767" s="58">
        <v>300000.0</v>
      </c>
      <c r="G767" s="57" t="s">
        <v>664</v>
      </c>
      <c r="H767" s="59" t="s">
        <v>252</v>
      </c>
      <c r="I767" s="60" t="s">
        <v>253</v>
      </c>
      <c r="J767" s="61"/>
      <c r="K767" s="61"/>
      <c r="L767" s="42"/>
      <c r="M767" s="42"/>
      <c r="N767" s="42"/>
      <c r="O767" s="42"/>
      <c r="P767" s="42"/>
      <c r="Q767" s="42"/>
      <c r="R767" s="42"/>
      <c r="S767" s="42"/>
      <c r="T767" s="42"/>
      <c r="U767" s="42"/>
      <c r="V767" s="42"/>
      <c r="W767" s="42"/>
      <c r="X767" s="42"/>
      <c r="Y767" s="42"/>
      <c r="Z767" s="42"/>
    </row>
    <row r="768" ht="57.0" customHeight="1">
      <c r="A768" s="57" t="s">
        <v>247</v>
      </c>
      <c r="B768" s="57" t="s">
        <v>156</v>
      </c>
      <c r="C768" s="57" t="s">
        <v>2460</v>
      </c>
      <c r="D768" s="57" t="s">
        <v>2461</v>
      </c>
      <c r="E768" s="57" t="s">
        <v>2462</v>
      </c>
      <c r="F768" s="58">
        <v>25000.0</v>
      </c>
      <c r="G768" s="57" t="s">
        <v>467</v>
      </c>
      <c r="H768" s="59" t="s">
        <v>252</v>
      </c>
      <c r="I768" s="60" t="s">
        <v>253</v>
      </c>
      <c r="J768" s="61"/>
      <c r="K768" s="61"/>
      <c r="L768" s="42"/>
      <c r="M768" s="42"/>
      <c r="N768" s="42"/>
      <c r="O768" s="42"/>
      <c r="P768" s="42"/>
      <c r="Q768" s="42"/>
      <c r="R768" s="42"/>
      <c r="S768" s="42"/>
      <c r="T768" s="42"/>
      <c r="U768" s="42"/>
      <c r="V768" s="42"/>
      <c r="W768" s="42"/>
      <c r="X768" s="42"/>
      <c r="Y768" s="42"/>
      <c r="Z768" s="42"/>
    </row>
    <row r="769" ht="57.0" customHeight="1">
      <c r="A769" s="57" t="s">
        <v>247</v>
      </c>
      <c r="B769" s="57" t="s">
        <v>156</v>
      </c>
      <c r="C769" s="57" t="s">
        <v>2463</v>
      </c>
      <c r="D769" s="57" t="s">
        <v>2464</v>
      </c>
      <c r="E769" s="57" t="s">
        <v>2465</v>
      </c>
      <c r="F769" s="58">
        <v>850000.0</v>
      </c>
      <c r="G769" s="57" t="s">
        <v>251</v>
      </c>
      <c r="H769" s="59" t="s">
        <v>252</v>
      </c>
      <c r="I769" s="60" t="s">
        <v>253</v>
      </c>
      <c r="J769" s="61"/>
      <c r="K769" s="61"/>
      <c r="L769" s="42"/>
      <c r="M769" s="42"/>
      <c r="N769" s="42"/>
      <c r="O769" s="42"/>
      <c r="P769" s="42"/>
      <c r="Q769" s="42"/>
      <c r="R769" s="42"/>
      <c r="S769" s="42"/>
      <c r="T769" s="42"/>
      <c r="U769" s="42"/>
      <c r="V769" s="42"/>
      <c r="W769" s="42"/>
      <c r="X769" s="42"/>
      <c r="Y769" s="42"/>
      <c r="Z769" s="42"/>
    </row>
    <row r="770" ht="85.5" customHeight="1">
      <c r="A770" s="57" t="s">
        <v>247</v>
      </c>
      <c r="B770" s="57" t="s">
        <v>156</v>
      </c>
      <c r="C770" s="57" t="s">
        <v>2466</v>
      </c>
      <c r="D770" s="57" t="s">
        <v>2467</v>
      </c>
      <c r="E770" s="57" t="s">
        <v>2468</v>
      </c>
      <c r="F770" s="58">
        <v>150000.0</v>
      </c>
      <c r="G770" s="57" t="s">
        <v>251</v>
      </c>
      <c r="H770" s="59" t="s">
        <v>252</v>
      </c>
      <c r="I770" s="59" t="s">
        <v>472</v>
      </c>
      <c r="J770" s="61"/>
      <c r="K770" s="61"/>
      <c r="L770" s="42"/>
      <c r="M770" s="42"/>
      <c r="N770" s="42"/>
      <c r="O770" s="42"/>
      <c r="P770" s="42"/>
      <c r="Q770" s="42"/>
      <c r="R770" s="42"/>
      <c r="S770" s="42"/>
      <c r="T770" s="42"/>
      <c r="U770" s="42"/>
      <c r="V770" s="42"/>
      <c r="W770" s="42"/>
      <c r="X770" s="42"/>
      <c r="Y770" s="42"/>
      <c r="Z770" s="42"/>
    </row>
    <row r="771" ht="85.5" customHeight="1">
      <c r="A771" s="57" t="s">
        <v>247</v>
      </c>
      <c r="B771" s="57" t="s">
        <v>156</v>
      </c>
      <c r="C771" s="57" t="s">
        <v>2469</v>
      </c>
      <c r="D771" s="57" t="s">
        <v>2470</v>
      </c>
      <c r="E771" s="57" t="s">
        <v>2471</v>
      </c>
      <c r="F771" s="58">
        <v>550000.0</v>
      </c>
      <c r="G771" s="57" t="s">
        <v>251</v>
      </c>
      <c r="H771" s="59" t="s">
        <v>252</v>
      </c>
      <c r="I771" s="59" t="s">
        <v>272</v>
      </c>
      <c r="J771" s="61"/>
      <c r="K771" s="61"/>
      <c r="L771" s="42"/>
      <c r="M771" s="42"/>
      <c r="N771" s="42"/>
      <c r="O771" s="42"/>
      <c r="P771" s="42"/>
      <c r="Q771" s="42"/>
      <c r="R771" s="42"/>
      <c r="S771" s="42"/>
      <c r="T771" s="42"/>
      <c r="U771" s="42"/>
      <c r="V771" s="42"/>
      <c r="W771" s="42"/>
      <c r="X771" s="42"/>
      <c r="Y771" s="42"/>
      <c r="Z771" s="42"/>
    </row>
    <row r="772" ht="85.5" customHeight="1">
      <c r="A772" s="57" t="s">
        <v>247</v>
      </c>
      <c r="B772" s="57" t="s">
        <v>156</v>
      </c>
      <c r="C772" s="57" t="s">
        <v>2472</v>
      </c>
      <c r="D772" s="57" t="s">
        <v>2473</v>
      </c>
      <c r="E772" s="57" t="s">
        <v>2474</v>
      </c>
      <c r="F772" s="58">
        <v>1600000.0</v>
      </c>
      <c r="G772" s="57" t="s">
        <v>251</v>
      </c>
      <c r="H772" s="59" t="s">
        <v>252</v>
      </c>
      <c r="I772" s="59" t="s">
        <v>272</v>
      </c>
      <c r="J772" s="61"/>
      <c r="K772" s="61"/>
      <c r="L772" s="42"/>
      <c r="M772" s="42"/>
      <c r="N772" s="42"/>
      <c r="O772" s="42"/>
      <c r="P772" s="42"/>
      <c r="Q772" s="42"/>
      <c r="R772" s="42"/>
      <c r="S772" s="42"/>
      <c r="T772" s="42"/>
      <c r="U772" s="42"/>
      <c r="V772" s="42"/>
      <c r="W772" s="42"/>
      <c r="X772" s="42"/>
      <c r="Y772" s="42"/>
      <c r="Z772" s="42"/>
    </row>
    <row r="773" ht="85.5" customHeight="1">
      <c r="A773" s="57" t="s">
        <v>247</v>
      </c>
      <c r="B773" s="57" t="s">
        <v>156</v>
      </c>
      <c r="C773" s="57" t="s">
        <v>2475</v>
      </c>
      <c r="D773" s="57" t="s">
        <v>2476</v>
      </c>
      <c r="E773" s="57" t="s">
        <v>2477</v>
      </c>
      <c r="F773" s="58">
        <v>900000.0</v>
      </c>
      <c r="G773" s="57" t="s">
        <v>251</v>
      </c>
      <c r="H773" s="59" t="s">
        <v>252</v>
      </c>
      <c r="I773" s="59" t="s">
        <v>272</v>
      </c>
      <c r="J773" s="61"/>
      <c r="K773" s="61"/>
      <c r="L773" s="42"/>
      <c r="M773" s="42"/>
      <c r="N773" s="42"/>
      <c r="O773" s="42"/>
      <c r="P773" s="42"/>
      <c r="Q773" s="42"/>
      <c r="R773" s="42"/>
      <c r="S773" s="42"/>
      <c r="T773" s="42"/>
      <c r="U773" s="42"/>
      <c r="V773" s="42"/>
      <c r="W773" s="42"/>
      <c r="X773" s="42"/>
      <c r="Y773" s="42"/>
      <c r="Z773" s="42"/>
    </row>
    <row r="774" ht="85.5" customHeight="1">
      <c r="A774" s="57" t="s">
        <v>247</v>
      </c>
      <c r="B774" s="57" t="s">
        <v>156</v>
      </c>
      <c r="C774" s="57" t="s">
        <v>2478</v>
      </c>
      <c r="D774" s="57" t="s">
        <v>2479</v>
      </c>
      <c r="E774" s="57" t="s">
        <v>2480</v>
      </c>
      <c r="F774" s="58">
        <v>2250000.0</v>
      </c>
      <c r="G774" s="57" t="s">
        <v>251</v>
      </c>
      <c r="H774" s="59" t="s">
        <v>252</v>
      </c>
      <c r="I774" s="59" t="s">
        <v>272</v>
      </c>
      <c r="J774" s="61"/>
      <c r="K774" s="61"/>
      <c r="L774" s="42"/>
      <c r="M774" s="42"/>
      <c r="N774" s="42"/>
      <c r="O774" s="42"/>
      <c r="P774" s="42"/>
      <c r="Q774" s="42"/>
      <c r="R774" s="42"/>
      <c r="S774" s="42"/>
      <c r="T774" s="42"/>
      <c r="U774" s="42"/>
      <c r="V774" s="42"/>
      <c r="W774" s="42"/>
      <c r="X774" s="42"/>
      <c r="Y774" s="42"/>
      <c r="Z774" s="42"/>
    </row>
    <row r="775" ht="30.75" customHeight="1">
      <c r="A775" s="52" t="s">
        <v>247</v>
      </c>
      <c r="B775" s="52" t="s">
        <v>159</v>
      </c>
      <c r="C775" s="52" t="s">
        <v>160</v>
      </c>
      <c r="D775" s="52" t="s">
        <v>161</v>
      </c>
      <c r="E775" s="52"/>
      <c r="F775" s="62"/>
      <c r="G775" s="52"/>
      <c r="H775" s="63"/>
      <c r="I775" s="63"/>
      <c r="J775" s="54"/>
      <c r="K775" s="54"/>
      <c r="L775" s="56"/>
      <c r="M775" s="56"/>
      <c r="N775" s="56"/>
      <c r="O775" s="56"/>
      <c r="P775" s="56"/>
      <c r="Q775" s="56"/>
      <c r="R775" s="56"/>
      <c r="S775" s="56"/>
      <c r="T775" s="56"/>
      <c r="U775" s="56"/>
      <c r="V775" s="56"/>
      <c r="W775" s="56"/>
      <c r="X775" s="56"/>
      <c r="Y775" s="56"/>
      <c r="Z775" s="56"/>
    </row>
    <row r="776" ht="57.0" customHeight="1">
      <c r="A776" s="57" t="s">
        <v>247</v>
      </c>
      <c r="B776" s="57" t="s">
        <v>159</v>
      </c>
      <c r="C776" s="57" t="s">
        <v>2481</v>
      </c>
      <c r="D776" s="57" t="s">
        <v>2482</v>
      </c>
      <c r="E776" s="57" t="s">
        <v>2483</v>
      </c>
      <c r="F776" s="58">
        <v>50000.0</v>
      </c>
      <c r="G776" s="57" t="s">
        <v>251</v>
      </c>
      <c r="H776" s="59" t="s">
        <v>252</v>
      </c>
      <c r="I776" s="60" t="s">
        <v>253</v>
      </c>
      <c r="J776" s="61"/>
      <c r="K776" s="61"/>
      <c r="L776" s="42"/>
      <c r="M776" s="42"/>
      <c r="N776" s="42"/>
      <c r="O776" s="42"/>
      <c r="P776" s="42"/>
      <c r="Q776" s="42"/>
      <c r="R776" s="42"/>
      <c r="S776" s="42"/>
      <c r="T776" s="42"/>
      <c r="U776" s="42"/>
      <c r="V776" s="42"/>
      <c r="W776" s="42"/>
      <c r="X776" s="42"/>
      <c r="Y776" s="42"/>
      <c r="Z776" s="42"/>
    </row>
    <row r="777" ht="57.0" customHeight="1">
      <c r="A777" s="57" t="s">
        <v>247</v>
      </c>
      <c r="B777" s="57" t="s">
        <v>159</v>
      </c>
      <c r="C777" s="57" t="s">
        <v>2484</v>
      </c>
      <c r="D777" s="57" t="s">
        <v>2485</v>
      </c>
      <c r="E777" s="57" t="s">
        <v>2486</v>
      </c>
      <c r="F777" s="58">
        <v>1800000.0</v>
      </c>
      <c r="G777" s="57" t="s">
        <v>251</v>
      </c>
      <c r="H777" s="59" t="s">
        <v>252</v>
      </c>
      <c r="I777" s="60" t="s">
        <v>472</v>
      </c>
      <c r="J777" s="61"/>
      <c r="K777" s="61"/>
      <c r="L777" s="42"/>
      <c r="M777" s="42"/>
      <c r="N777" s="42"/>
      <c r="O777" s="42"/>
      <c r="P777" s="42"/>
      <c r="Q777" s="42"/>
      <c r="R777" s="42"/>
      <c r="S777" s="42"/>
      <c r="T777" s="42"/>
      <c r="U777" s="42"/>
      <c r="V777" s="42"/>
      <c r="W777" s="42"/>
      <c r="X777" s="42"/>
      <c r="Y777" s="42"/>
      <c r="Z777" s="42"/>
    </row>
    <row r="778" ht="57.0" customHeight="1">
      <c r="A778" s="57" t="s">
        <v>247</v>
      </c>
      <c r="B778" s="57" t="s">
        <v>159</v>
      </c>
      <c r="C778" s="57" t="s">
        <v>2487</v>
      </c>
      <c r="D778" s="57" t="s">
        <v>2488</v>
      </c>
      <c r="E778" s="57" t="s">
        <v>2489</v>
      </c>
      <c r="F778" s="58">
        <v>4200000.0</v>
      </c>
      <c r="G778" s="57" t="s">
        <v>251</v>
      </c>
      <c r="H778" s="59" t="s">
        <v>252</v>
      </c>
      <c r="I778" s="60" t="s">
        <v>253</v>
      </c>
      <c r="J778" s="61"/>
      <c r="K778" s="61"/>
      <c r="L778" s="42"/>
      <c r="M778" s="42"/>
      <c r="N778" s="42"/>
      <c r="O778" s="42"/>
      <c r="P778" s="42"/>
      <c r="Q778" s="42"/>
      <c r="R778" s="42"/>
      <c r="S778" s="42"/>
      <c r="T778" s="42"/>
      <c r="U778" s="42"/>
      <c r="V778" s="42"/>
      <c r="W778" s="42"/>
      <c r="X778" s="42"/>
      <c r="Y778" s="42"/>
      <c r="Z778" s="42"/>
    </row>
    <row r="779" ht="57.0" customHeight="1">
      <c r="A779" s="57" t="s">
        <v>247</v>
      </c>
      <c r="B779" s="57" t="s">
        <v>159</v>
      </c>
      <c r="C779" s="57" t="s">
        <v>2490</v>
      </c>
      <c r="D779" s="57" t="s">
        <v>2491</v>
      </c>
      <c r="E779" s="57" t="s">
        <v>2492</v>
      </c>
      <c r="F779" s="58">
        <v>2000000.0</v>
      </c>
      <c r="G779" s="57" t="s">
        <v>251</v>
      </c>
      <c r="H779" s="59" t="s">
        <v>252</v>
      </c>
      <c r="I779" s="60" t="s">
        <v>253</v>
      </c>
      <c r="J779" s="61"/>
      <c r="K779" s="61"/>
      <c r="L779" s="42"/>
      <c r="M779" s="42"/>
      <c r="N779" s="42"/>
      <c r="O779" s="42"/>
      <c r="P779" s="42"/>
      <c r="Q779" s="42"/>
      <c r="R779" s="42"/>
      <c r="S779" s="42"/>
      <c r="T779" s="42"/>
      <c r="U779" s="42"/>
      <c r="V779" s="42"/>
      <c r="W779" s="42"/>
      <c r="X779" s="42"/>
      <c r="Y779" s="42"/>
      <c r="Z779" s="42"/>
    </row>
    <row r="780" ht="57.0" customHeight="1">
      <c r="A780" s="57" t="s">
        <v>247</v>
      </c>
      <c r="B780" s="57" t="s">
        <v>159</v>
      </c>
      <c r="C780" s="57" t="s">
        <v>2493</v>
      </c>
      <c r="D780" s="57" t="s">
        <v>2494</v>
      </c>
      <c r="E780" s="57" t="s">
        <v>2495</v>
      </c>
      <c r="F780" s="58">
        <v>930000.0</v>
      </c>
      <c r="G780" s="57" t="s">
        <v>251</v>
      </c>
      <c r="H780" s="59" t="s">
        <v>252</v>
      </c>
      <c r="I780" s="60" t="s">
        <v>253</v>
      </c>
      <c r="J780" s="61"/>
      <c r="K780" s="61"/>
      <c r="L780" s="42"/>
      <c r="M780" s="42"/>
      <c r="N780" s="42"/>
      <c r="O780" s="42"/>
      <c r="P780" s="42"/>
      <c r="Q780" s="42"/>
      <c r="R780" s="42"/>
      <c r="S780" s="42"/>
      <c r="T780" s="42"/>
      <c r="U780" s="42"/>
      <c r="V780" s="42"/>
      <c r="W780" s="42"/>
      <c r="X780" s="42"/>
      <c r="Y780" s="42"/>
      <c r="Z780" s="42"/>
    </row>
    <row r="781" ht="57.0" customHeight="1">
      <c r="A781" s="57" t="s">
        <v>247</v>
      </c>
      <c r="B781" s="57" t="s">
        <v>159</v>
      </c>
      <c r="C781" s="57" t="s">
        <v>2496</v>
      </c>
      <c r="D781" s="57" t="s">
        <v>2497</v>
      </c>
      <c r="E781" s="57" t="s">
        <v>2498</v>
      </c>
      <c r="F781" s="58">
        <v>450000.0</v>
      </c>
      <c r="G781" s="57" t="s">
        <v>251</v>
      </c>
      <c r="H781" s="59" t="s">
        <v>252</v>
      </c>
      <c r="I781" s="60" t="s">
        <v>253</v>
      </c>
      <c r="J781" s="61"/>
      <c r="K781" s="61"/>
      <c r="L781" s="42"/>
      <c r="M781" s="42"/>
      <c r="N781" s="42"/>
      <c r="O781" s="42"/>
      <c r="P781" s="42"/>
      <c r="Q781" s="42"/>
      <c r="R781" s="42"/>
      <c r="S781" s="42"/>
      <c r="T781" s="42"/>
      <c r="U781" s="42"/>
      <c r="V781" s="42"/>
      <c r="W781" s="42"/>
      <c r="X781" s="42"/>
      <c r="Y781" s="42"/>
      <c r="Z781" s="42"/>
    </row>
    <row r="782" ht="57.0" customHeight="1">
      <c r="A782" s="57" t="s">
        <v>247</v>
      </c>
      <c r="B782" s="57" t="s">
        <v>159</v>
      </c>
      <c r="C782" s="57" t="s">
        <v>2499</v>
      </c>
      <c r="D782" s="57" t="s">
        <v>2500</v>
      </c>
      <c r="E782" s="57" t="s">
        <v>2501</v>
      </c>
      <c r="F782" s="58">
        <v>2500000.0</v>
      </c>
      <c r="G782" s="57" t="s">
        <v>251</v>
      </c>
      <c r="H782" s="59" t="s">
        <v>252</v>
      </c>
      <c r="I782" s="60" t="s">
        <v>253</v>
      </c>
      <c r="J782" s="61"/>
      <c r="K782" s="61"/>
      <c r="L782" s="42"/>
      <c r="M782" s="42"/>
      <c r="N782" s="42"/>
      <c r="O782" s="42"/>
      <c r="P782" s="42"/>
      <c r="Q782" s="42"/>
      <c r="R782" s="42"/>
      <c r="S782" s="42"/>
      <c r="T782" s="42"/>
      <c r="U782" s="42"/>
      <c r="V782" s="42"/>
      <c r="W782" s="42"/>
      <c r="X782" s="42"/>
      <c r="Y782" s="42"/>
      <c r="Z782" s="42"/>
    </row>
    <row r="783" ht="57.0" customHeight="1">
      <c r="A783" s="57" t="s">
        <v>247</v>
      </c>
      <c r="B783" s="57" t="s">
        <v>159</v>
      </c>
      <c r="C783" s="57" t="s">
        <v>2502</v>
      </c>
      <c r="D783" s="57" t="s">
        <v>2503</v>
      </c>
      <c r="E783" s="57" t="s">
        <v>2504</v>
      </c>
      <c r="F783" s="58">
        <v>1000000.0</v>
      </c>
      <c r="G783" s="57" t="s">
        <v>251</v>
      </c>
      <c r="H783" s="59" t="s">
        <v>252</v>
      </c>
      <c r="I783" s="60" t="s">
        <v>253</v>
      </c>
      <c r="J783" s="61"/>
      <c r="K783" s="61"/>
      <c r="L783" s="42"/>
      <c r="M783" s="42"/>
      <c r="N783" s="42"/>
      <c r="O783" s="42"/>
      <c r="P783" s="42"/>
      <c r="Q783" s="42"/>
      <c r="R783" s="42"/>
      <c r="S783" s="42"/>
      <c r="T783" s="42"/>
      <c r="U783" s="42"/>
      <c r="V783" s="42"/>
      <c r="W783" s="42"/>
      <c r="X783" s="42"/>
      <c r="Y783" s="42"/>
      <c r="Z783" s="42"/>
    </row>
    <row r="784" ht="57.0" customHeight="1">
      <c r="A784" s="57" t="s">
        <v>247</v>
      </c>
      <c r="B784" s="57" t="s">
        <v>159</v>
      </c>
      <c r="C784" s="57" t="s">
        <v>2505</v>
      </c>
      <c r="D784" s="57" t="s">
        <v>2506</v>
      </c>
      <c r="E784" s="57" t="s">
        <v>2507</v>
      </c>
      <c r="F784" s="58">
        <v>99000.0</v>
      </c>
      <c r="G784" s="57" t="s">
        <v>251</v>
      </c>
      <c r="H784" s="59" t="s">
        <v>252</v>
      </c>
      <c r="I784" s="60" t="s">
        <v>253</v>
      </c>
      <c r="J784" s="61"/>
      <c r="K784" s="61"/>
      <c r="L784" s="42"/>
      <c r="M784" s="42"/>
      <c r="N784" s="42"/>
      <c r="O784" s="42"/>
      <c r="P784" s="42"/>
      <c r="Q784" s="42"/>
      <c r="R784" s="42"/>
      <c r="S784" s="42"/>
      <c r="T784" s="42"/>
      <c r="U784" s="42"/>
      <c r="V784" s="42"/>
      <c r="W784" s="42"/>
      <c r="X784" s="42"/>
      <c r="Y784" s="42"/>
      <c r="Z784" s="42"/>
    </row>
    <row r="785" ht="57.0" customHeight="1">
      <c r="A785" s="57" t="s">
        <v>247</v>
      </c>
      <c r="B785" s="57" t="s">
        <v>159</v>
      </c>
      <c r="C785" s="57" t="s">
        <v>2508</v>
      </c>
      <c r="D785" s="57" t="s">
        <v>2509</v>
      </c>
      <c r="E785" s="57" t="s">
        <v>2510</v>
      </c>
      <c r="F785" s="58">
        <v>5000000.0</v>
      </c>
      <c r="G785" s="57" t="s">
        <v>251</v>
      </c>
      <c r="H785" s="59" t="s">
        <v>252</v>
      </c>
      <c r="I785" s="60" t="s">
        <v>253</v>
      </c>
      <c r="J785" s="61"/>
      <c r="K785" s="61"/>
      <c r="L785" s="42"/>
      <c r="M785" s="42"/>
      <c r="N785" s="42"/>
      <c r="O785" s="42"/>
      <c r="P785" s="42"/>
      <c r="Q785" s="42"/>
      <c r="R785" s="42"/>
      <c r="S785" s="42"/>
      <c r="T785" s="42"/>
      <c r="U785" s="42"/>
      <c r="V785" s="42"/>
      <c r="W785" s="42"/>
      <c r="X785" s="42"/>
      <c r="Y785" s="42"/>
      <c r="Z785" s="42"/>
    </row>
    <row r="786" ht="57.0" customHeight="1">
      <c r="A786" s="57" t="s">
        <v>247</v>
      </c>
      <c r="B786" s="57" t="s">
        <v>159</v>
      </c>
      <c r="C786" s="57" t="s">
        <v>2511</v>
      </c>
      <c r="D786" s="57" t="s">
        <v>2512</v>
      </c>
      <c r="E786" s="57" t="s">
        <v>2513</v>
      </c>
      <c r="F786" s="71">
        <v>2500000.0</v>
      </c>
      <c r="G786" s="57" t="s">
        <v>251</v>
      </c>
      <c r="H786" s="59" t="s">
        <v>252</v>
      </c>
      <c r="I786" s="60" t="s">
        <v>468</v>
      </c>
      <c r="J786" s="61"/>
      <c r="K786" s="61"/>
      <c r="L786" s="42"/>
      <c r="M786" s="42"/>
      <c r="N786" s="42"/>
      <c r="O786" s="42"/>
      <c r="P786" s="42"/>
      <c r="Q786" s="42"/>
      <c r="R786" s="42"/>
      <c r="S786" s="42"/>
      <c r="T786" s="42"/>
      <c r="U786" s="42"/>
      <c r="V786" s="42"/>
      <c r="W786" s="42"/>
      <c r="X786" s="42"/>
      <c r="Y786" s="42"/>
      <c r="Z786" s="42"/>
    </row>
    <row r="787" ht="57.0" customHeight="1">
      <c r="A787" s="57" t="s">
        <v>247</v>
      </c>
      <c r="B787" s="57" t="s">
        <v>159</v>
      </c>
      <c r="C787" s="57" t="s">
        <v>2514</v>
      </c>
      <c r="D787" s="57" t="s">
        <v>2515</v>
      </c>
      <c r="E787" s="57" t="s">
        <v>2516</v>
      </c>
      <c r="F787" s="69">
        <v>6500000.0</v>
      </c>
      <c r="G787" s="57" t="s">
        <v>251</v>
      </c>
      <c r="H787" s="59" t="s">
        <v>252</v>
      </c>
      <c r="I787" s="60" t="s">
        <v>468</v>
      </c>
      <c r="J787" s="61"/>
      <c r="K787" s="61"/>
      <c r="L787" s="42"/>
      <c r="M787" s="42"/>
      <c r="N787" s="42"/>
      <c r="O787" s="42"/>
      <c r="P787" s="42"/>
      <c r="Q787" s="42"/>
      <c r="R787" s="42"/>
      <c r="S787" s="42"/>
      <c r="T787" s="42"/>
      <c r="U787" s="42"/>
      <c r="V787" s="42"/>
      <c r="W787" s="42"/>
      <c r="X787" s="42"/>
      <c r="Y787" s="42"/>
      <c r="Z787" s="42"/>
    </row>
    <row r="788" ht="57.0" customHeight="1">
      <c r="A788" s="57" t="s">
        <v>247</v>
      </c>
      <c r="B788" s="57" t="s">
        <v>159</v>
      </c>
      <c r="C788" s="57" t="s">
        <v>2517</v>
      </c>
      <c r="D788" s="57" t="s">
        <v>2518</v>
      </c>
      <c r="E788" s="57" t="s">
        <v>2519</v>
      </c>
      <c r="F788" s="71">
        <v>8000000.0</v>
      </c>
      <c r="G788" s="57" t="s">
        <v>251</v>
      </c>
      <c r="H788" s="59" t="s">
        <v>252</v>
      </c>
      <c r="I788" s="60" t="s">
        <v>468</v>
      </c>
      <c r="J788" s="61"/>
      <c r="K788" s="61"/>
      <c r="L788" s="42"/>
      <c r="M788" s="42"/>
      <c r="N788" s="42"/>
      <c r="O788" s="42"/>
      <c r="P788" s="42"/>
      <c r="Q788" s="42"/>
      <c r="R788" s="42"/>
      <c r="S788" s="42"/>
      <c r="T788" s="42"/>
      <c r="U788" s="42"/>
      <c r="V788" s="42"/>
      <c r="W788" s="42"/>
      <c r="X788" s="42"/>
      <c r="Y788" s="42"/>
      <c r="Z788" s="42"/>
    </row>
    <row r="789" ht="57.0" customHeight="1">
      <c r="A789" s="57" t="s">
        <v>247</v>
      </c>
      <c r="B789" s="57" t="s">
        <v>159</v>
      </c>
      <c r="C789" s="57" t="s">
        <v>2520</v>
      </c>
      <c r="D789" s="57" t="s">
        <v>2521</v>
      </c>
      <c r="E789" s="57" t="s">
        <v>2522</v>
      </c>
      <c r="F789" s="71">
        <v>1.0E7</v>
      </c>
      <c r="G789" s="57" t="s">
        <v>251</v>
      </c>
      <c r="H789" s="59" t="s">
        <v>252</v>
      </c>
      <c r="I789" s="60" t="s">
        <v>468</v>
      </c>
      <c r="J789" s="61"/>
      <c r="K789" s="61"/>
      <c r="L789" s="42"/>
      <c r="M789" s="42"/>
      <c r="N789" s="42"/>
      <c r="O789" s="42"/>
      <c r="P789" s="42"/>
      <c r="Q789" s="42"/>
      <c r="R789" s="42"/>
      <c r="S789" s="42"/>
      <c r="T789" s="42"/>
      <c r="U789" s="42"/>
      <c r="V789" s="42"/>
      <c r="W789" s="42"/>
      <c r="X789" s="42"/>
      <c r="Y789" s="42"/>
      <c r="Z789" s="42"/>
    </row>
    <row r="790" ht="57.0" customHeight="1">
      <c r="A790" s="57" t="s">
        <v>247</v>
      </c>
      <c r="B790" s="57" t="s">
        <v>159</v>
      </c>
      <c r="C790" s="57" t="s">
        <v>2523</v>
      </c>
      <c r="D790" s="57" t="s">
        <v>2524</v>
      </c>
      <c r="E790" s="57" t="s">
        <v>2525</v>
      </c>
      <c r="F790" s="58">
        <v>350000.0</v>
      </c>
      <c r="G790" s="57" t="s">
        <v>251</v>
      </c>
      <c r="H790" s="59" t="s">
        <v>252</v>
      </c>
      <c r="I790" s="59" t="s">
        <v>472</v>
      </c>
      <c r="J790" s="61"/>
      <c r="K790" s="61"/>
      <c r="L790" s="42"/>
      <c r="M790" s="42"/>
      <c r="N790" s="42"/>
      <c r="O790" s="42"/>
      <c r="P790" s="42"/>
      <c r="Q790" s="42"/>
      <c r="R790" s="42"/>
      <c r="S790" s="42"/>
      <c r="T790" s="42"/>
      <c r="U790" s="42"/>
      <c r="V790" s="42"/>
      <c r="W790" s="42"/>
      <c r="X790" s="42"/>
      <c r="Y790" s="42"/>
      <c r="Z790" s="42"/>
    </row>
    <row r="791" ht="85.5" customHeight="1">
      <c r="A791" s="57" t="s">
        <v>247</v>
      </c>
      <c r="B791" s="57" t="s">
        <v>159</v>
      </c>
      <c r="C791" s="57" t="s">
        <v>2526</v>
      </c>
      <c r="D791" s="57" t="s">
        <v>2527</v>
      </c>
      <c r="E791" s="57" t="s">
        <v>2528</v>
      </c>
      <c r="F791" s="58">
        <v>1000000.0</v>
      </c>
      <c r="G791" s="57" t="s">
        <v>251</v>
      </c>
      <c r="H791" s="59" t="s">
        <v>252</v>
      </c>
      <c r="I791" s="59" t="s">
        <v>472</v>
      </c>
      <c r="J791" s="61"/>
      <c r="K791" s="61"/>
      <c r="L791" s="42"/>
      <c r="M791" s="42"/>
      <c r="N791" s="42"/>
      <c r="O791" s="42"/>
      <c r="P791" s="42"/>
      <c r="Q791" s="42"/>
      <c r="R791" s="42"/>
      <c r="S791" s="42"/>
      <c r="T791" s="42"/>
      <c r="U791" s="42"/>
      <c r="V791" s="42"/>
      <c r="W791" s="42"/>
      <c r="X791" s="42"/>
      <c r="Y791" s="42"/>
      <c r="Z791" s="42"/>
    </row>
    <row r="792" ht="57.0" customHeight="1">
      <c r="A792" s="57" t="s">
        <v>247</v>
      </c>
      <c r="B792" s="57" t="s">
        <v>159</v>
      </c>
      <c r="C792" s="57" t="s">
        <v>2529</v>
      </c>
      <c r="D792" s="57" t="s">
        <v>2530</v>
      </c>
      <c r="E792" s="57" t="s">
        <v>2531</v>
      </c>
      <c r="F792" s="58">
        <v>1300000.0</v>
      </c>
      <c r="G792" s="57" t="s">
        <v>251</v>
      </c>
      <c r="H792" s="59" t="s">
        <v>252</v>
      </c>
      <c r="I792" s="59" t="s">
        <v>472</v>
      </c>
      <c r="J792" s="61"/>
      <c r="K792" s="61"/>
      <c r="L792" s="42"/>
      <c r="M792" s="42"/>
      <c r="N792" s="42"/>
      <c r="O792" s="42"/>
      <c r="P792" s="42"/>
      <c r="Q792" s="42"/>
      <c r="R792" s="42"/>
      <c r="S792" s="42"/>
      <c r="T792" s="42"/>
      <c r="U792" s="42"/>
      <c r="V792" s="42"/>
      <c r="W792" s="42"/>
      <c r="X792" s="42"/>
      <c r="Y792" s="42"/>
      <c r="Z792" s="42"/>
    </row>
    <row r="793" ht="57.0" customHeight="1">
      <c r="A793" s="57" t="s">
        <v>247</v>
      </c>
      <c r="B793" s="57" t="s">
        <v>159</v>
      </c>
      <c r="C793" s="57" t="s">
        <v>2532</v>
      </c>
      <c r="D793" s="57" t="s">
        <v>2533</v>
      </c>
      <c r="E793" s="57" t="s">
        <v>2534</v>
      </c>
      <c r="F793" s="58">
        <v>2500000.0</v>
      </c>
      <c r="G793" s="57" t="s">
        <v>251</v>
      </c>
      <c r="H793" s="59" t="s">
        <v>252</v>
      </c>
      <c r="I793" s="59" t="s">
        <v>472</v>
      </c>
      <c r="J793" s="61"/>
      <c r="K793" s="61"/>
      <c r="L793" s="42"/>
      <c r="M793" s="42"/>
      <c r="N793" s="42"/>
      <c r="O793" s="42"/>
      <c r="P793" s="42"/>
      <c r="Q793" s="42"/>
      <c r="R793" s="42"/>
      <c r="S793" s="42"/>
      <c r="T793" s="42"/>
      <c r="U793" s="42"/>
      <c r="V793" s="42"/>
      <c r="W793" s="42"/>
      <c r="X793" s="42"/>
      <c r="Y793" s="42"/>
      <c r="Z793" s="42"/>
    </row>
    <row r="794" ht="57.0" customHeight="1">
      <c r="A794" s="57" t="s">
        <v>247</v>
      </c>
      <c r="B794" s="57" t="s">
        <v>159</v>
      </c>
      <c r="C794" s="57" t="s">
        <v>2535</v>
      </c>
      <c r="D794" s="57" t="s">
        <v>2536</v>
      </c>
      <c r="E794" s="57" t="s">
        <v>2537</v>
      </c>
      <c r="F794" s="58">
        <v>1300000.0</v>
      </c>
      <c r="G794" s="57" t="s">
        <v>251</v>
      </c>
      <c r="H794" s="59" t="s">
        <v>252</v>
      </c>
      <c r="I794" s="59" t="s">
        <v>472</v>
      </c>
      <c r="J794" s="61"/>
      <c r="K794" s="61"/>
      <c r="L794" s="42"/>
      <c r="M794" s="42"/>
      <c r="N794" s="42"/>
      <c r="O794" s="42"/>
      <c r="P794" s="42"/>
      <c r="Q794" s="42"/>
      <c r="R794" s="42"/>
      <c r="S794" s="42"/>
      <c r="T794" s="42"/>
      <c r="U794" s="42"/>
      <c r="V794" s="42"/>
      <c r="W794" s="42"/>
      <c r="X794" s="42"/>
      <c r="Y794" s="42"/>
      <c r="Z794" s="42"/>
    </row>
    <row r="795" ht="30.75" customHeight="1">
      <c r="A795" s="52" t="s">
        <v>247</v>
      </c>
      <c r="B795" s="52" t="s">
        <v>162</v>
      </c>
      <c r="C795" s="52" t="s">
        <v>163</v>
      </c>
      <c r="D795" s="52" t="s">
        <v>164</v>
      </c>
      <c r="E795" s="52"/>
      <c r="F795" s="62"/>
      <c r="G795" s="52"/>
      <c r="H795" s="63"/>
      <c r="I795" s="63"/>
      <c r="J795" s="54"/>
      <c r="K795" s="54"/>
      <c r="L795" s="56"/>
      <c r="M795" s="56"/>
      <c r="N795" s="56"/>
      <c r="O795" s="56"/>
      <c r="P795" s="56"/>
      <c r="Q795" s="56"/>
      <c r="R795" s="56"/>
      <c r="S795" s="56"/>
      <c r="T795" s="56"/>
      <c r="U795" s="56"/>
      <c r="V795" s="56"/>
      <c r="W795" s="56"/>
      <c r="X795" s="56"/>
      <c r="Y795" s="56"/>
      <c r="Z795" s="56"/>
    </row>
    <row r="796" ht="57.0" customHeight="1">
      <c r="A796" s="57" t="s">
        <v>247</v>
      </c>
      <c r="B796" s="57" t="s">
        <v>162</v>
      </c>
      <c r="C796" s="57" t="s">
        <v>2538</v>
      </c>
      <c r="D796" s="57" t="s">
        <v>2539</v>
      </c>
      <c r="E796" s="57" t="s">
        <v>2540</v>
      </c>
      <c r="F796" s="58">
        <v>200000.0</v>
      </c>
      <c r="G796" s="57" t="s">
        <v>251</v>
      </c>
      <c r="H796" s="59" t="s">
        <v>252</v>
      </c>
      <c r="I796" s="60" t="s">
        <v>253</v>
      </c>
      <c r="J796" s="61"/>
      <c r="K796" s="61"/>
      <c r="L796" s="42"/>
      <c r="M796" s="42"/>
      <c r="N796" s="42"/>
      <c r="O796" s="42"/>
      <c r="P796" s="42"/>
      <c r="Q796" s="42"/>
      <c r="R796" s="42"/>
      <c r="S796" s="42"/>
      <c r="T796" s="42"/>
      <c r="U796" s="42"/>
      <c r="V796" s="42"/>
      <c r="W796" s="42"/>
      <c r="X796" s="42"/>
      <c r="Y796" s="42"/>
      <c r="Z796" s="42"/>
    </row>
    <row r="797" ht="57.0" customHeight="1">
      <c r="A797" s="57" t="s">
        <v>247</v>
      </c>
      <c r="B797" s="57" t="s">
        <v>162</v>
      </c>
      <c r="C797" s="57" t="s">
        <v>2541</v>
      </c>
      <c r="D797" s="57" t="s">
        <v>2542</v>
      </c>
      <c r="E797" s="57" t="s">
        <v>2543</v>
      </c>
      <c r="F797" s="58">
        <v>250000.0</v>
      </c>
      <c r="G797" s="57" t="s">
        <v>467</v>
      </c>
      <c r="H797" s="59" t="s">
        <v>252</v>
      </c>
      <c r="I797" s="60" t="s">
        <v>253</v>
      </c>
      <c r="J797" s="61"/>
      <c r="K797" s="61"/>
      <c r="L797" s="42"/>
      <c r="M797" s="42"/>
      <c r="N797" s="42"/>
      <c r="O797" s="42"/>
      <c r="P797" s="42"/>
      <c r="Q797" s="42"/>
      <c r="R797" s="42"/>
      <c r="S797" s="42"/>
      <c r="T797" s="42"/>
      <c r="U797" s="42"/>
      <c r="V797" s="42"/>
      <c r="W797" s="42"/>
      <c r="X797" s="42"/>
      <c r="Y797" s="42"/>
      <c r="Z797" s="42"/>
    </row>
    <row r="798" ht="57.0" customHeight="1">
      <c r="A798" s="57" t="s">
        <v>247</v>
      </c>
      <c r="B798" s="57" t="s">
        <v>162</v>
      </c>
      <c r="C798" s="57" t="s">
        <v>2544</v>
      </c>
      <c r="D798" s="57" t="s">
        <v>2545</v>
      </c>
      <c r="E798" s="57" t="s">
        <v>2546</v>
      </c>
      <c r="F798" s="58">
        <v>2500000.0</v>
      </c>
      <c r="G798" s="57" t="s">
        <v>251</v>
      </c>
      <c r="H798" s="59" t="s">
        <v>252</v>
      </c>
      <c r="I798" s="60" t="s">
        <v>253</v>
      </c>
      <c r="J798" s="61"/>
      <c r="K798" s="61"/>
      <c r="L798" s="42"/>
      <c r="M798" s="42"/>
      <c r="N798" s="42"/>
      <c r="O798" s="42"/>
      <c r="P798" s="42"/>
      <c r="Q798" s="42"/>
      <c r="R798" s="42"/>
      <c r="S798" s="42"/>
      <c r="T798" s="42"/>
      <c r="U798" s="42"/>
      <c r="V798" s="42"/>
      <c r="W798" s="42"/>
      <c r="X798" s="42"/>
      <c r="Y798" s="42"/>
      <c r="Z798" s="42"/>
    </row>
    <row r="799" ht="57.0" customHeight="1">
      <c r="A799" s="57" t="s">
        <v>247</v>
      </c>
      <c r="B799" s="57" t="s">
        <v>162</v>
      </c>
      <c r="C799" s="57" t="s">
        <v>2547</v>
      </c>
      <c r="D799" s="57" t="s">
        <v>2548</v>
      </c>
      <c r="E799" s="57" t="s">
        <v>2549</v>
      </c>
      <c r="F799" s="58">
        <v>650000.0</v>
      </c>
      <c r="G799" s="57" t="s">
        <v>251</v>
      </c>
      <c r="H799" s="59" t="s">
        <v>252</v>
      </c>
      <c r="I799" s="60" t="s">
        <v>253</v>
      </c>
      <c r="J799" s="61"/>
      <c r="K799" s="61"/>
      <c r="L799" s="42"/>
      <c r="M799" s="42"/>
      <c r="N799" s="42"/>
      <c r="O799" s="42"/>
      <c r="P799" s="42"/>
      <c r="Q799" s="42"/>
      <c r="R799" s="42"/>
      <c r="S799" s="42"/>
      <c r="T799" s="42"/>
      <c r="U799" s="42"/>
      <c r="V799" s="42"/>
      <c r="W799" s="42"/>
      <c r="X799" s="42"/>
      <c r="Y799" s="42"/>
      <c r="Z799" s="42"/>
    </row>
    <row r="800" ht="57.0" customHeight="1">
      <c r="A800" s="57" t="s">
        <v>247</v>
      </c>
      <c r="B800" s="57" t="s">
        <v>162</v>
      </c>
      <c r="C800" s="57" t="s">
        <v>2550</v>
      </c>
      <c r="D800" s="57" t="s">
        <v>2551</v>
      </c>
      <c r="E800" s="57" t="s">
        <v>2552</v>
      </c>
      <c r="F800" s="58">
        <v>1300000.0</v>
      </c>
      <c r="G800" s="57" t="s">
        <v>251</v>
      </c>
      <c r="H800" s="59" t="s">
        <v>252</v>
      </c>
      <c r="I800" s="60" t="s">
        <v>253</v>
      </c>
      <c r="J800" s="61"/>
      <c r="K800" s="61"/>
      <c r="L800" s="42"/>
      <c r="M800" s="42"/>
      <c r="N800" s="42"/>
      <c r="O800" s="42"/>
      <c r="P800" s="42"/>
      <c r="Q800" s="42"/>
      <c r="R800" s="42"/>
      <c r="S800" s="42"/>
      <c r="T800" s="42"/>
      <c r="U800" s="42"/>
      <c r="V800" s="42"/>
      <c r="W800" s="42"/>
      <c r="X800" s="42"/>
      <c r="Y800" s="42"/>
      <c r="Z800" s="42"/>
    </row>
    <row r="801" ht="57.0" customHeight="1">
      <c r="A801" s="57" t="s">
        <v>247</v>
      </c>
      <c r="B801" s="57" t="s">
        <v>162</v>
      </c>
      <c r="C801" s="57" t="s">
        <v>2553</v>
      </c>
      <c r="D801" s="57" t="s">
        <v>2554</v>
      </c>
      <c r="E801" s="57" t="s">
        <v>2555</v>
      </c>
      <c r="F801" s="58">
        <v>5000000.0</v>
      </c>
      <c r="G801" s="57" t="s">
        <v>251</v>
      </c>
      <c r="H801" s="59" t="s">
        <v>252</v>
      </c>
      <c r="I801" s="60" t="s">
        <v>253</v>
      </c>
      <c r="J801" s="61"/>
      <c r="K801" s="61"/>
      <c r="L801" s="42"/>
      <c r="M801" s="42"/>
      <c r="N801" s="42"/>
      <c r="O801" s="42"/>
      <c r="P801" s="42"/>
      <c r="Q801" s="42"/>
      <c r="R801" s="42"/>
      <c r="S801" s="42"/>
      <c r="T801" s="42"/>
      <c r="U801" s="42"/>
      <c r="V801" s="42"/>
      <c r="W801" s="42"/>
      <c r="X801" s="42"/>
      <c r="Y801" s="42"/>
      <c r="Z801" s="42"/>
    </row>
    <row r="802" ht="57.0" customHeight="1">
      <c r="A802" s="57" t="s">
        <v>247</v>
      </c>
      <c r="B802" s="57" t="s">
        <v>162</v>
      </c>
      <c r="C802" s="57" t="s">
        <v>2556</v>
      </c>
      <c r="D802" s="57" t="s">
        <v>2557</v>
      </c>
      <c r="E802" s="57" t="s">
        <v>2558</v>
      </c>
      <c r="F802" s="58">
        <v>7000000.0</v>
      </c>
      <c r="G802" s="57" t="s">
        <v>251</v>
      </c>
      <c r="H802" s="59" t="s">
        <v>252</v>
      </c>
      <c r="I802" s="60" t="s">
        <v>253</v>
      </c>
      <c r="J802" s="61"/>
      <c r="K802" s="61"/>
      <c r="L802" s="42"/>
      <c r="M802" s="42"/>
      <c r="N802" s="42"/>
      <c r="O802" s="42"/>
      <c r="P802" s="42"/>
      <c r="Q802" s="42"/>
      <c r="R802" s="42"/>
      <c r="S802" s="42"/>
      <c r="T802" s="42"/>
      <c r="U802" s="42"/>
      <c r="V802" s="42"/>
      <c r="W802" s="42"/>
      <c r="X802" s="42"/>
      <c r="Y802" s="42"/>
      <c r="Z802" s="42"/>
    </row>
    <row r="803" ht="57.0" customHeight="1">
      <c r="A803" s="57" t="s">
        <v>247</v>
      </c>
      <c r="B803" s="57" t="s">
        <v>162</v>
      </c>
      <c r="C803" s="57" t="s">
        <v>2559</v>
      </c>
      <c r="D803" s="57" t="s">
        <v>2560</v>
      </c>
      <c r="E803" s="57" t="s">
        <v>2561</v>
      </c>
      <c r="F803" s="58">
        <v>3200000.0</v>
      </c>
      <c r="G803" s="57" t="s">
        <v>251</v>
      </c>
      <c r="H803" s="59" t="s">
        <v>252</v>
      </c>
      <c r="I803" s="60" t="s">
        <v>253</v>
      </c>
      <c r="J803" s="61"/>
      <c r="K803" s="61"/>
      <c r="L803" s="42"/>
      <c r="M803" s="42"/>
      <c r="N803" s="42"/>
      <c r="O803" s="42"/>
      <c r="P803" s="42"/>
      <c r="Q803" s="42"/>
      <c r="R803" s="42"/>
      <c r="S803" s="42"/>
      <c r="T803" s="42"/>
      <c r="U803" s="42"/>
      <c r="V803" s="42"/>
      <c r="W803" s="42"/>
      <c r="X803" s="42"/>
      <c r="Y803" s="42"/>
      <c r="Z803" s="42"/>
    </row>
    <row r="804" ht="57.0" customHeight="1">
      <c r="A804" s="57" t="s">
        <v>247</v>
      </c>
      <c r="B804" s="57" t="s">
        <v>162</v>
      </c>
      <c r="C804" s="57" t="s">
        <v>2562</v>
      </c>
      <c r="D804" s="57" t="s">
        <v>2563</v>
      </c>
      <c r="E804" s="57" t="s">
        <v>2564</v>
      </c>
      <c r="F804" s="58">
        <v>6400000.0</v>
      </c>
      <c r="G804" s="57" t="s">
        <v>251</v>
      </c>
      <c r="H804" s="59" t="s">
        <v>252</v>
      </c>
      <c r="I804" s="60" t="s">
        <v>253</v>
      </c>
      <c r="J804" s="61"/>
      <c r="K804" s="61"/>
      <c r="L804" s="42"/>
      <c r="M804" s="42"/>
      <c r="N804" s="42"/>
      <c r="O804" s="42"/>
      <c r="P804" s="42"/>
      <c r="Q804" s="42"/>
      <c r="R804" s="42"/>
      <c r="S804" s="42"/>
      <c r="T804" s="42"/>
      <c r="U804" s="42"/>
      <c r="V804" s="42"/>
      <c r="W804" s="42"/>
      <c r="X804" s="42"/>
      <c r="Y804" s="42"/>
      <c r="Z804" s="42"/>
    </row>
    <row r="805" ht="57.0" customHeight="1">
      <c r="A805" s="57" t="s">
        <v>247</v>
      </c>
      <c r="B805" s="57" t="s">
        <v>162</v>
      </c>
      <c r="C805" s="57" t="s">
        <v>2565</v>
      </c>
      <c r="D805" s="57" t="s">
        <v>2566</v>
      </c>
      <c r="E805" s="57" t="s">
        <v>2567</v>
      </c>
      <c r="F805" s="58">
        <v>9500000.0</v>
      </c>
      <c r="G805" s="57" t="s">
        <v>251</v>
      </c>
      <c r="H805" s="59" t="s">
        <v>252</v>
      </c>
      <c r="I805" s="60" t="s">
        <v>253</v>
      </c>
      <c r="J805" s="61"/>
      <c r="K805" s="61"/>
      <c r="L805" s="42"/>
      <c r="M805" s="42"/>
      <c r="N805" s="42"/>
      <c r="O805" s="42"/>
      <c r="P805" s="42"/>
      <c r="Q805" s="42"/>
      <c r="R805" s="42"/>
      <c r="S805" s="42"/>
      <c r="T805" s="42"/>
      <c r="U805" s="42"/>
      <c r="V805" s="42"/>
      <c r="W805" s="42"/>
      <c r="X805" s="42"/>
      <c r="Y805" s="42"/>
      <c r="Z805" s="42"/>
    </row>
    <row r="806" ht="57.0" customHeight="1">
      <c r="A806" s="57" t="s">
        <v>247</v>
      </c>
      <c r="B806" s="57" t="s">
        <v>162</v>
      </c>
      <c r="C806" s="57" t="s">
        <v>2568</v>
      </c>
      <c r="D806" s="57" t="s">
        <v>2569</v>
      </c>
      <c r="E806" s="57" t="s">
        <v>2570</v>
      </c>
      <c r="F806" s="58">
        <v>1700000.0</v>
      </c>
      <c r="G806" s="57" t="s">
        <v>251</v>
      </c>
      <c r="H806" s="59" t="s">
        <v>252</v>
      </c>
      <c r="I806" s="60" t="s">
        <v>253</v>
      </c>
      <c r="J806" s="61"/>
      <c r="K806" s="61"/>
      <c r="L806" s="42"/>
      <c r="M806" s="42"/>
      <c r="N806" s="42"/>
      <c r="O806" s="42"/>
      <c r="P806" s="42"/>
      <c r="Q806" s="42"/>
      <c r="R806" s="42"/>
      <c r="S806" s="42"/>
      <c r="T806" s="42"/>
      <c r="U806" s="42"/>
      <c r="V806" s="42"/>
      <c r="W806" s="42"/>
      <c r="X806" s="42"/>
      <c r="Y806" s="42"/>
      <c r="Z806" s="42"/>
    </row>
    <row r="807" ht="57.0" customHeight="1">
      <c r="A807" s="57" t="s">
        <v>247</v>
      </c>
      <c r="B807" s="57" t="s">
        <v>162</v>
      </c>
      <c r="C807" s="57" t="s">
        <v>2571</v>
      </c>
      <c r="D807" s="57" t="s">
        <v>2572</v>
      </c>
      <c r="E807" s="57" t="s">
        <v>2573</v>
      </c>
      <c r="F807" s="58">
        <v>1300000.0</v>
      </c>
      <c r="G807" s="57" t="s">
        <v>251</v>
      </c>
      <c r="H807" s="59" t="s">
        <v>252</v>
      </c>
      <c r="I807" s="60" t="s">
        <v>253</v>
      </c>
      <c r="J807" s="61"/>
      <c r="K807" s="61"/>
      <c r="L807" s="42"/>
      <c r="M807" s="42"/>
      <c r="N807" s="42"/>
      <c r="O807" s="42"/>
      <c r="P807" s="42"/>
      <c r="Q807" s="42"/>
      <c r="R807" s="42"/>
      <c r="S807" s="42"/>
      <c r="T807" s="42"/>
      <c r="U807" s="42"/>
      <c r="V807" s="42"/>
      <c r="W807" s="42"/>
      <c r="X807" s="42"/>
      <c r="Y807" s="42"/>
      <c r="Z807" s="42"/>
    </row>
    <row r="808" ht="57.0" customHeight="1">
      <c r="A808" s="57" t="s">
        <v>247</v>
      </c>
      <c r="B808" s="57" t="s">
        <v>162</v>
      </c>
      <c r="C808" s="57" t="s">
        <v>2574</v>
      </c>
      <c r="D808" s="57" t="s">
        <v>2575</v>
      </c>
      <c r="E808" s="57" t="s">
        <v>2576</v>
      </c>
      <c r="F808" s="58">
        <v>5000000.0</v>
      </c>
      <c r="G808" s="57" t="s">
        <v>251</v>
      </c>
      <c r="H808" s="59" t="s">
        <v>252</v>
      </c>
      <c r="I808" s="60" t="s">
        <v>253</v>
      </c>
      <c r="J808" s="61"/>
      <c r="K808" s="61"/>
      <c r="L808" s="42"/>
      <c r="M808" s="42"/>
      <c r="N808" s="42"/>
      <c r="O808" s="42"/>
      <c r="P808" s="42"/>
      <c r="Q808" s="42"/>
      <c r="R808" s="42"/>
      <c r="S808" s="42"/>
      <c r="T808" s="42"/>
      <c r="U808" s="42"/>
      <c r="V808" s="42"/>
      <c r="W808" s="42"/>
      <c r="X808" s="42"/>
      <c r="Y808" s="42"/>
      <c r="Z808" s="42"/>
    </row>
    <row r="809" ht="57.0" customHeight="1">
      <c r="A809" s="57" t="s">
        <v>247</v>
      </c>
      <c r="B809" s="57" t="s">
        <v>162</v>
      </c>
      <c r="C809" s="57" t="s">
        <v>2577</v>
      </c>
      <c r="D809" s="57" t="s">
        <v>2578</v>
      </c>
      <c r="E809" s="57" t="s">
        <v>2579</v>
      </c>
      <c r="F809" s="58">
        <v>3600000.0</v>
      </c>
      <c r="G809" s="57" t="s">
        <v>251</v>
      </c>
      <c r="H809" s="59" t="s">
        <v>252</v>
      </c>
      <c r="I809" s="60" t="s">
        <v>253</v>
      </c>
      <c r="J809" s="61"/>
      <c r="K809" s="61"/>
      <c r="L809" s="42"/>
      <c r="M809" s="42"/>
      <c r="N809" s="42"/>
      <c r="O809" s="42"/>
      <c r="P809" s="42"/>
      <c r="Q809" s="42"/>
      <c r="R809" s="42"/>
      <c r="S809" s="42"/>
      <c r="T809" s="42"/>
      <c r="U809" s="42"/>
      <c r="V809" s="42"/>
      <c r="W809" s="42"/>
      <c r="X809" s="42"/>
      <c r="Y809" s="42"/>
      <c r="Z809" s="42"/>
    </row>
    <row r="810" ht="57.0" customHeight="1">
      <c r="A810" s="57" t="s">
        <v>247</v>
      </c>
      <c r="B810" s="57" t="s">
        <v>162</v>
      </c>
      <c r="C810" s="57" t="s">
        <v>2580</v>
      </c>
      <c r="D810" s="57" t="s">
        <v>2581</v>
      </c>
      <c r="E810" s="57" t="s">
        <v>2582</v>
      </c>
      <c r="F810" s="58">
        <v>5000000.0</v>
      </c>
      <c r="G810" s="57" t="s">
        <v>251</v>
      </c>
      <c r="H810" s="59" t="s">
        <v>252</v>
      </c>
      <c r="I810" s="60" t="s">
        <v>253</v>
      </c>
      <c r="J810" s="61"/>
      <c r="K810" s="61"/>
      <c r="L810" s="42"/>
      <c r="M810" s="42"/>
      <c r="N810" s="42"/>
      <c r="O810" s="42"/>
      <c r="P810" s="42"/>
      <c r="Q810" s="42"/>
      <c r="R810" s="42"/>
      <c r="S810" s="42"/>
      <c r="T810" s="42"/>
      <c r="U810" s="42"/>
      <c r="V810" s="42"/>
      <c r="W810" s="42"/>
      <c r="X810" s="42"/>
      <c r="Y810" s="42"/>
      <c r="Z810" s="42"/>
    </row>
    <row r="811" ht="57.0" customHeight="1">
      <c r="A811" s="57" t="s">
        <v>247</v>
      </c>
      <c r="B811" s="57" t="s">
        <v>162</v>
      </c>
      <c r="C811" s="57" t="s">
        <v>2583</v>
      </c>
      <c r="D811" s="57" t="s">
        <v>2584</v>
      </c>
      <c r="E811" s="57" t="s">
        <v>2585</v>
      </c>
      <c r="F811" s="58">
        <v>9200000.0</v>
      </c>
      <c r="G811" s="57" t="s">
        <v>251</v>
      </c>
      <c r="H811" s="59" t="s">
        <v>252</v>
      </c>
      <c r="I811" s="60" t="s">
        <v>253</v>
      </c>
      <c r="J811" s="61"/>
      <c r="K811" s="61"/>
      <c r="L811" s="42"/>
      <c r="M811" s="42"/>
      <c r="N811" s="42"/>
      <c r="O811" s="42"/>
      <c r="P811" s="42"/>
      <c r="Q811" s="42"/>
      <c r="R811" s="42"/>
      <c r="S811" s="42"/>
      <c r="T811" s="42"/>
      <c r="U811" s="42"/>
      <c r="V811" s="42"/>
      <c r="W811" s="42"/>
      <c r="X811" s="42"/>
      <c r="Y811" s="42"/>
      <c r="Z811" s="42"/>
    </row>
    <row r="812" ht="57.0" customHeight="1">
      <c r="A812" s="57" t="s">
        <v>247</v>
      </c>
      <c r="B812" s="57" t="s">
        <v>162</v>
      </c>
      <c r="C812" s="57" t="s">
        <v>2586</v>
      </c>
      <c r="D812" s="57" t="s">
        <v>2587</v>
      </c>
      <c r="E812" s="57" t="s">
        <v>2588</v>
      </c>
      <c r="F812" s="58">
        <v>2.7E7</v>
      </c>
      <c r="G812" s="57" t="s">
        <v>251</v>
      </c>
      <c r="H812" s="59" t="s">
        <v>252</v>
      </c>
      <c r="I812" s="60" t="s">
        <v>253</v>
      </c>
      <c r="J812" s="61"/>
      <c r="K812" s="61"/>
      <c r="L812" s="42"/>
      <c r="M812" s="42"/>
      <c r="N812" s="42"/>
      <c r="O812" s="42"/>
      <c r="P812" s="42"/>
      <c r="Q812" s="42"/>
      <c r="R812" s="42"/>
      <c r="S812" s="42"/>
      <c r="T812" s="42"/>
      <c r="U812" s="42"/>
      <c r="V812" s="42"/>
      <c r="W812" s="42"/>
      <c r="X812" s="42"/>
      <c r="Y812" s="42"/>
      <c r="Z812" s="42"/>
    </row>
    <row r="813" ht="57.0" customHeight="1">
      <c r="A813" s="57" t="s">
        <v>247</v>
      </c>
      <c r="B813" s="57" t="s">
        <v>162</v>
      </c>
      <c r="C813" s="57" t="s">
        <v>2589</v>
      </c>
      <c r="D813" s="57" t="s">
        <v>2590</v>
      </c>
      <c r="E813" s="57" t="s">
        <v>2591</v>
      </c>
      <c r="F813" s="58">
        <v>6.0E7</v>
      </c>
      <c r="G813" s="57" t="s">
        <v>251</v>
      </c>
      <c r="H813" s="59" t="s">
        <v>252</v>
      </c>
      <c r="I813" s="60" t="s">
        <v>253</v>
      </c>
      <c r="J813" s="61"/>
      <c r="K813" s="61"/>
      <c r="L813" s="42"/>
      <c r="M813" s="42"/>
      <c r="N813" s="42"/>
      <c r="O813" s="42"/>
      <c r="P813" s="42"/>
      <c r="Q813" s="42"/>
      <c r="R813" s="42"/>
      <c r="S813" s="42"/>
      <c r="T813" s="42"/>
      <c r="U813" s="42"/>
      <c r="V813" s="42"/>
      <c r="W813" s="42"/>
      <c r="X813" s="42"/>
      <c r="Y813" s="42"/>
      <c r="Z813" s="42"/>
    </row>
    <row r="814" ht="57.0" customHeight="1">
      <c r="A814" s="57" t="s">
        <v>247</v>
      </c>
      <c r="B814" s="57" t="s">
        <v>162</v>
      </c>
      <c r="C814" s="57" t="s">
        <v>2592</v>
      </c>
      <c r="D814" s="57" t="s">
        <v>2593</v>
      </c>
      <c r="E814" s="57" t="s">
        <v>2594</v>
      </c>
      <c r="F814" s="58">
        <v>8.5E7</v>
      </c>
      <c r="G814" s="57" t="s">
        <v>251</v>
      </c>
      <c r="H814" s="59" t="s">
        <v>252</v>
      </c>
      <c r="I814" s="60" t="s">
        <v>253</v>
      </c>
      <c r="J814" s="61"/>
      <c r="K814" s="61"/>
      <c r="L814" s="42"/>
      <c r="M814" s="42"/>
      <c r="N814" s="42"/>
      <c r="O814" s="42"/>
      <c r="P814" s="42"/>
      <c r="Q814" s="42"/>
      <c r="R814" s="42"/>
      <c r="S814" s="42"/>
      <c r="T814" s="42"/>
      <c r="U814" s="42"/>
      <c r="V814" s="42"/>
      <c r="W814" s="42"/>
      <c r="X814" s="42"/>
      <c r="Y814" s="42"/>
      <c r="Z814" s="42"/>
    </row>
    <row r="815" ht="57.0" customHeight="1">
      <c r="A815" s="57" t="s">
        <v>247</v>
      </c>
      <c r="B815" s="57" t="s">
        <v>162</v>
      </c>
      <c r="C815" s="57" t="s">
        <v>2595</v>
      </c>
      <c r="D815" s="57" t="s">
        <v>2596</v>
      </c>
      <c r="E815" s="57" t="s">
        <v>2597</v>
      </c>
      <c r="F815" s="58">
        <v>3.8E7</v>
      </c>
      <c r="G815" s="57" t="s">
        <v>251</v>
      </c>
      <c r="H815" s="59" t="s">
        <v>252</v>
      </c>
      <c r="I815" s="60" t="s">
        <v>253</v>
      </c>
      <c r="J815" s="61"/>
      <c r="K815" s="61"/>
      <c r="L815" s="42"/>
      <c r="M815" s="42"/>
      <c r="N815" s="42"/>
      <c r="O815" s="42"/>
      <c r="P815" s="42"/>
      <c r="Q815" s="42"/>
      <c r="R815" s="42"/>
      <c r="S815" s="42"/>
      <c r="T815" s="42"/>
      <c r="U815" s="42"/>
      <c r="V815" s="42"/>
      <c r="W815" s="42"/>
      <c r="X815" s="42"/>
      <c r="Y815" s="42"/>
      <c r="Z815" s="42"/>
    </row>
    <row r="816" ht="57.0" customHeight="1">
      <c r="A816" s="57" t="s">
        <v>247</v>
      </c>
      <c r="B816" s="57" t="s">
        <v>162</v>
      </c>
      <c r="C816" s="57" t="s">
        <v>2598</v>
      </c>
      <c r="D816" s="57" t="s">
        <v>2599</v>
      </c>
      <c r="E816" s="57" t="s">
        <v>2600</v>
      </c>
      <c r="F816" s="58">
        <v>1.2E8</v>
      </c>
      <c r="G816" s="57" t="s">
        <v>251</v>
      </c>
      <c r="H816" s="59" t="s">
        <v>252</v>
      </c>
      <c r="I816" s="60" t="s">
        <v>253</v>
      </c>
      <c r="J816" s="61"/>
      <c r="K816" s="61"/>
      <c r="L816" s="42"/>
      <c r="M816" s="42"/>
      <c r="N816" s="42"/>
      <c r="O816" s="42"/>
      <c r="P816" s="42"/>
      <c r="Q816" s="42"/>
      <c r="R816" s="42"/>
      <c r="S816" s="42"/>
      <c r="T816" s="42"/>
      <c r="U816" s="42"/>
      <c r="V816" s="42"/>
      <c r="W816" s="42"/>
      <c r="X816" s="42"/>
      <c r="Y816" s="42"/>
      <c r="Z816" s="42"/>
    </row>
    <row r="817" ht="57.0" customHeight="1">
      <c r="A817" s="57" t="s">
        <v>247</v>
      </c>
      <c r="B817" s="57" t="s">
        <v>162</v>
      </c>
      <c r="C817" s="57" t="s">
        <v>2601</v>
      </c>
      <c r="D817" s="57" t="s">
        <v>2602</v>
      </c>
      <c r="E817" s="57" t="s">
        <v>2603</v>
      </c>
      <c r="F817" s="58">
        <v>2.0E8</v>
      </c>
      <c r="G817" s="57" t="s">
        <v>251</v>
      </c>
      <c r="H817" s="59" t="s">
        <v>252</v>
      </c>
      <c r="I817" s="60" t="s">
        <v>253</v>
      </c>
      <c r="J817" s="61"/>
      <c r="K817" s="61"/>
      <c r="L817" s="42"/>
      <c r="M817" s="42"/>
      <c r="N817" s="42"/>
      <c r="O817" s="42"/>
      <c r="P817" s="42"/>
      <c r="Q817" s="42"/>
      <c r="R817" s="42"/>
      <c r="S817" s="42"/>
      <c r="T817" s="42"/>
      <c r="U817" s="42"/>
      <c r="V817" s="42"/>
      <c r="W817" s="42"/>
      <c r="X817" s="42"/>
      <c r="Y817" s="42"/>
      <c r="Z817" s="42"/>
    </row>
    <row r="818" ht="57.0" customHeight="1">
      <c r="A818" s="57" t="s">
        <v>247</v>
      </c>
      <c r="B818" s="57" t="s">
        <v>162</v>
      </c>
      <c r="C818" s="57" t="s">
        <v>2604</v>
      </c>
      <c r="D818" s="57" t="s">
        <v>2605</v>
      </c>
      <c r="E818" s="57" t="s">
        <v>2606</v>
      </c>
      <c r="F818" s="58">
        <v>4.0E7</v>
      </c>
      <c r="G818" s="57" t="s">
        <v>251</v>
      </c>
      <c r="H818" s="59" t="s">
        <v>252</v>
      </c>
      <c r="I818" s="60" t="s">
        <v>253</v>
      </c>
      <c r="J818" s="61"/>
      <c r="K818" s="61"/>
      <c r="L818" s="42"/>
      <c r="M818" s="42"/>
      <c r="N818" s="42"/>
      <c r="O818" s="42"/>
      <c r="P818" s="42"/>
      <c r="Q818" s="42"/>
      <c r="R818" s="42"/>
      <c r="S818" s="42"/>
      <c r="T818" s="42"/>
      <c r="U818" s="42"/>
      <c r="V818" s="42"/>
      <c r="W818" s="42"/>
      <c r="X818" s="42"/>
      <c r="Y818" s="42"/>
      <c r="Z818" s="42"/>
    </row>
    <row r="819" ht="57.0" customHeight="1">
      <c r="A819" s="57" t="s">
        <v>247</v>
      </c>
      <c r="B819" s="57" t="s">
        <v>162</v>
      </c>
      <c r="C819" s="57" t="s">
        <v>2607</v>
      </c>
      <c r="D819" s="57" t="s">
        <v>2608</v>
      </c>
      <c r="E819" s="57" t="s">
        <v>2609</v>
      </c>
      <c r="F819" s="58">
        <v>8000000.0</v>
      </c>
      <c r="G819" s="57" t="s">
        <v>251</v>
      </c>
      <c r="H819" s="59" t="s">
        <v>252</v>
      </c>
      <c r="I819" s="60" t="s">
        <v>253</v>
      </c>
      <c r="J819" s="61"/>
      <c r="K819" s="61"/>
      <c r="L819" s="42"/>
      <c r="M819" s="42"/>
      <c r="N819" s="42"/>
      <c r="O819" s="42"/>
      <c r="P819" s="42"/>
      <c r="Q819" s="42"/>
      <c r="R819" s="42"/>
      <c r="S819" s="42"/>
      <c r="T819" s="42"/>
      <c r="U819" s="42"/>
      <c r="V819" s="42"/>
      <c r="W819" s="42"/>
      <c r="X819" s="42"/>
      <c r="Y819" s="42"/>
      <c r="Z819" s="42"/>
    </row>
    <row r="820" ht="57.0" customHeight="1">
      <c r="A820" s="57" t="s">
        <v>247</v>
      </c>
      <c r="B820" s="57" t="s">
        <v>162</v>
      </c>
      <c r="C820" s="57" t="s">
        <v>2610</v>
      </c>
      <c r="D820" s="57" t="s">
        <v>2611</v>
      </c>
      <c r="E820" s="57" t="s">
        <v>2612</v>
      </c>
      <c r="F820" s="58">
        <v>1.0E7</v>
      </c>
      <c r="G820" s="57" t="s">
        <v>251</v>
      </c>
      <c r="H820" s="59" t="s">
        <v>252</v>
      </c>
      <c r="I820" s="60" t="s">
        <v>253</v>
      </c>
      <c r="J820" s="61"/>
      <c r="K820" s="61"/>
      <c r="L820" s="42"/>
      <c r="M820" s="42"/>
      <c r="N820" s="42"/>
      <c r="O820" s="42"/>
      <c r="P820" s="42"/>
      <c r="Q820" s="42"/>
      <c r="R820" s="42"/>
      <c r="S820" s="42"/>
      <c r="T820" s="42"/>
      <c r="U820" s="42"/>
      <c r="V820" s="42"/>
      <c r="W820" s="42"/>
      <c r="X820" s="42"/>
      <c r="Y820" s="42"/>
      <c r="Z820" s="42"/>
    </row>
    <row r="821" ht="57.0" customHeight="1">
      <c r="A821" s="57" t="s">
        <v>247</v>
      </c>
      <c r="B821" s="57" t="s">
        <v>162</v>
      </c>
      <c r="C821" s="57" t="s">
        <v>2613</v>
      </c>
      <c r="D821" s="57" t="s">
        <v>2614</v>
      </c>
      <c r="E821" s="57" t="s">
        <v>2615</v>
      </c>
      <c r="F821" s="58">
        <v>1.5E7</v>
      </c>
      <c r="G821" s="57" t="s">
        <v>251</v>
      </c>
      <c r="H821" s="59" t="s">
        <v>252</v>
      </c>
      <c r="I821" s="60" t="s">
        <v>253</v>
      </c>
      <c r="J821" s="61"/>
      <c r="K821" s="61"/>
      <c r="L821" s="42"/>
      <c r="M821" s="42"/>
      <c r="N821" s="42"/>
      <c r="O821" s="42"/>
      <c r="P821" s="42"/>
      <c r="Q821" s="42"/>
      <c r="R821" s="42"/>
      <c r="S821" s="42"/>
      <c r="T821" s="42"/>
      <c r="U821" s="42"/>
      <c r="V821" s="42"/>
      <c r="W821" s="42"/>
      <c r="X821" s="42"/>
      <c r="Y821" s="42"/>
      <c r="Z821" s="42"/>
    </row>
    <row r="822" ht="57.0" customHeight="1">
      <c r="A822" s="57" t="s">
        <v>247</v>
      </c>
      <c r="B822" s="57" t="s">
        <v>162</v>
      </c>
      <c r="C822" s="57" t="s">
        <v>2616</v>
      </c>
      <c r="D822" s="57" t="s">
        <v>2617</v>
      </c>
      <c r="E822" s="57" t="s">
        <v>2618</v>
      </c>
      <c r="F822" s="58">
        <v>2.0E7</v>
      </c>
      <c r="G822" s="57" t="s">
        <v>251</v>
      </c>
      <c r="H822" s="59" t="s">
        <v>252</v>
      </c>
      <c r="I822" s="60" t="s">
        <v>253</v>
      </c>
      <c r="J822" s="61"/>
      <c r="K822" s="61"/>
      <c r="L822" s="42"/>
      <c r="M822" s="42"/>
      <c r="N822" s="42"/>
      <c r="O822" s="42"/>
      <c r="P822" s="42"/>
      <c r="Q822" s="42"/>
      <c r="R822" s="42"/>
      <c r="S822" s="42"/>
      <c r="T822" s="42"/>
      <c r="U822" s="42"/>
      <c r="V822" s="42"/>
      <c r="W822" s="42"/>
      <c r="X822" s="42"/>
      <c r="Y822" s="42"/>
      <c r="Z822" s="42"/>
    </row>
    <row r="823" ht="57.0" customHeight="1">
      <c r="A823" s="57" t="s">
        <v>247</v>
      </c>
      <c r="B823" s="57" t="s">
        <v>162</v>
      </c>
      <c r="C823" s="57" t="s">
        <v>2619</v>
      </c>
      <c r="D823" s="57" t="s">
        <v>2620</v>
      </c>
      <c r="E823" s="57" t="s">
        <v>2621</v>
      </c>
      <c r="F823" s="58">
        <v>3.5E7</v>
      </c>
      <c r="G823" s="57" t="s">
        <v>251</v>
      </c>
      <c r="H823" s="59" t="s">
        <v>252</v>
      </c>
      <c r="I823" s="60" t="s">
        <v>253</v>
      </c>
      <c r="J823" s="61"/>
      <c r="K823" s="61"/>
      <c r="L823" s="42"/>
      <c r="M823" s="42"/>
      <c r="N823" s="42"/>
      <c r="O823" s="42"/>
      <c r="P823" s="42"/>
      <c r="Q823" s="42"/>
      <c r="R823" s="42"/>
      <c r="S823" s="42"/>
      <c r="T823" s="42"/>
      <c r="U823" s="42"/>
      <c r="V823" s="42"/>
      <c r="W823" s="42"/>
      <c r="X823" s="42"/>
      <c r="Y823" s="42"/>
      <c r="Z823" s="42"/>
    </row>
    <row r="824" ht="57.0" customHeight="1">
      <c r="A824" s="57" t="s">
        <v>247</v>
      </c>
      <c r="B824" s="57" t="s">
        <v>162</v>
      </c>
      <c r="C824" s="57" t="s">
        <v>2622</v>
      </c>
      <c r="D824" s="57" t="s">
        <v>2623</v>
      </c>
      <c r="E824" s="57" t="s">
        <v>2624</v>
      </c>
      <c r="F824" s="58">
        <v>700000.0</v>
      </c>
      <c r="G824" s="57" t="s">
        <v>467</v>
      </c>
      <c r="H824" s="59" t="s">
        <v>252</v>
      </c>
      <c r="I824" s="60" t="s">
        <v>253</v>
      </c>
      <c r="J824" s="61"/>
      <c r="K824" s="61"/>
      <c r="L824" s="42"/>
      <c r="M824" s="42"/>
      <c r="N824" s="42"/>
      <c r="O824" s="42"/>
      <c r="P824" s="42"/>
      <c r="Q824" s="42"/>
      <c r="R824" s="42"/>
      <c r="S824" s="42"/>
      <c r="T824" s="42"/>
      <c r="U824" s="42"/>
      <c r="V824" s="42"/>
      <c r="W824" s="42"/>
      <c r="X824" s="42"/>
      <c r="Y824" s="42"/>
      <c r="Z824" s="42"/>
    </row>
    <row r="825" ht="57.0" customHeight="1">
      <c r="A825" s="57" t="s">
        <v>247</v>
      </c>
      <c r="B825" s="57" t="s">
        <v>162</v>
      </c>
      <c r="C825" s="57" t="s">
        <v>2625</v>
      </c>
      <c r="D825" s="57" t="s">
        <v>2626</v>
      </c>
      <c r="E825" s="57" t="s">
        <v>2627</v>
      </c>
      <c r="F825" s="58">
        <v>850000.0</v>
      </c>
      <c r="G825" s="57" t="s">
        <v>467</v>
      </c>
      <c r="H825" s="59" t="s">
        <v>252</v>
      </c>
      <c r="I825" s="60" t="s">
        <v>253</v>
      </c>
      <c r="J825" s="61"/>
      <c r="K825" s="61"/>
      <c r="L825" s="42"/>
      <c r="M825" s="42"/>
      <c r="N825" s="42"/>
      <c r="O825" s="42"/>
      <c r="P825" s="42"/>
      <c r="Q825" s="42"/>
      <c r="R825" s="42"/>
      <c r="S825" s="42"/>
      <c r="T825" s="42"/>
      <c r="U825" s="42"/>
      <c r="V825" s="42"/>
      <c r="W825" s="42"/>
      <c r="X825" s="42"/>
      <c r="Y825" s="42"/>
      <c r="Z825" s="42"/>
    </row>
    <row r="826" ht="57.0" customHeight="1">
      <c r="A826" s="57" t="s">
        <v>247</v>
      </c>
      <c r="B826" s="57" t="s">
        <v>162</v>
      </c>
      <c r="C826" s="57" t="s">
        <v>2628</v>
      </c>
      <c r="D826" s="57" t="s">
        <v>2629</v>
      </c>
      <c r="E826" s="57" t="s">
        <v>2630</v>
      </c>
      <c r="F826" s="58">
        <v>1000000.0</v>
      </c>
      <c r="G826" s="57" t="s">
        <v>467</v>
      </c>
      <c r="H826" s="59" t="s">
        <v>252</v>
      </c>
      <c r="I826" s="60" t="s">
        <v>253</v>
      </c>
      <c r="J826" s="61"/>
      <c r="K826" s="61"/>
      <c r="L826" s="42"/>
      <c r="M826" s="42"/>
      <c r="N826" s="42"/>
      <c r="O826" s="42"/>
      <c r="P826" s="42"/>
      <c r="Q826" s="42"/>
      <c r="R826" s="42"/>
      <c r="S826" s="42"/>
      <c r="T826" s="42"/>
      <c r="U826" s="42"/>
      <c r="V826" s="42"/>
      <c r="W826" s="42"/>
      <c r="X826" s="42"/>
      <c r="Y826" s="42"/>
      <c r="Z826" s="42"/>
    </row>
    <row r="827" ht="57.0" customHeight="1">
      <c r="A827" s="57" t="s">
        <v>247</v>
      </c>
      <c r="B827" s="57" t="s">
        <v>162</v>
      </c>
      <c r="C827" s="57" t="s">
        <v>2631</v>
      </c>
      <c r="D827" s="57" t="s">
        <v>2632</v>
      </c>
      <c r="E827" s="57" t="s">
        <v>2633</v>
      </c>
      <c r="F827" s="58">
        <v>1500000.0</v>
      </c>
      <c r="G827" s="57" t="s">
        <v>467</v>
      </c>
      <c r="H827" s="59" t="s">
        <v>252</v>
      </c>
      <c r="I827" s="60" t="s">
        <v>253</v>
      </c>
      <c r="J827" s="61"/>
      <c r="K827" s="61"/>
      <c r="L827" s="42"/>
      <c r="M827" s="42"/>
      <c r="N827" s="42"/>
      <c r="O827" s="42"/>
      <c r="P827" s="42"/>
      <c r="Q827" s="42"/>
      <c r="R827" s="42"/>
      <c r="S827" s="42"/>
      <c r="T827" s="42"/>
      <c r="U827" s="42"/>
      <c r="V827" s="42"/>
      <c r="W827" s="42"/>
      <c r="X827" s="42"/>
      <c r="Y827" s="42"/>
      <c r="Z827" s="42"/>
    </row>
    <row r="828" ht="57.0" customHeight="1">
      <c r="A828" s="57" t="s">
        <v>247</v>
      </c>
      <c r="B828" s="57" t="s">
        <v>162</v>
      </c>
      <c r="C828" s="57" t="s">
        <v>2634</v>
      </c>
      <c r="D828" s="57" t="s">
        <v>2635</v>
      </c>
      <c r="E828" s="57" t="s">
        <v>2636</v>
      </c>
      <c r="F828" s="58">
        <v>650000.0</v>
      </c>
      <c r="G828" s="57" t="s">
        <v>251</v>
      </c>
      <c r="H828" s="59" t="s">
        <v>252</v>
      </c>
      <c r="I828" s="60" t="s">
        <v>253</v>
      </c>
      <c r="J828" s="61"/>
      <c r="K828" s="61"/>
      <c r="L828" s="42"/>
      <c r="M828" s="42"/>
      <c r="N828" s="42"/>
      <c r="O828" s="42"/>
      <c r="P828" s="42"/>
      <c r="Q828" s="42"/>
      <c r="R828" s="42"/>
      <c r="S828" s="42"/>
      <c r="T828" s="42"/>
      <c r="U828" s="42"/>
      <c r="V828" s="42"/>
      <c r="W828" s="42"/>
      <c r="X828" s="42"/>
      <c r="Y828" s="42"/>
      <c r="Z828" s="42"/>
    </row>
    <row r="829" ht="57.0" customHeight="1">
      <c r="A829" s="57" t="s">
        <v>247</v>
      </c>
      <c r="B829" s="57" t="s">
        <v>162</v>
      </c>
      <c r="C829" s="57" t="s">
        <v>2637</v>
      </c>
      <c r="D829" s="57" t="s">
        <v>2638</v>
      </c>
      <c r="E829" s="57" t="s">
        <v>2639</v>
      </c>
      <c r="F829" s="58">
        <v>950000.0</v>
      </c>
      <c r="G829" s="57" t="s">
        <v>251</v>
      </c>
      <c r="H829" s="59" t="s">
        <v>252</v>
      </c>
      <c r="I829" s="60" t="s">
        <v>253</v>
      </c>
      <c r="J829" s="61"/>
      <c r="K829" s="61"/>
      <c r="L829" s="42"/>
      <c r="M829" s="42"/>
      <c r="N829" s="42"/>
      <c r="O829" s="42"/>
      <c r="P829" s="42"/>
      <c r="Q829" s="42"/>
      <c r="R829" s="42"/>
      <c r="S829" s="42"/>
      <c r="T829" s="42"/>
      <c r="U829" s="42"/>
      <c r="V829" s="42"/>
      <c r="W829" s="42"/>
      <c r="X829" s="42"/>
      <c r="Y829" s="42"/>
      <c r="Z829" s="42"/>
    </row>
    <row r="830" ht="57.0" customHeight="1">
      <c r="A830" s="57" t="s">
        <v>247</v>
      </c>
      <c r="B830" s="57" t="s">
        <v>162</v>
      </c>
      <c r="C830" s="57" t="s">
        <v>2640</v>
      </c>
      <c r="D830" s="57" t="s">
        <v>2641</v>
      </c>
      <c r="E830" s="57" t="s">
        <v>2642</v>
      </c>
      <c r="F830" s="58">
        <v>1200000.0</v>
      </c>
      <c r="G830" s="57" t="s">
        <v>251</v>
      </c>
      <c r="H830" s="59" t="s">
        <v>252</v>
      </c>
      <c r="I830" s="60" t="s">
        <v>253</v>
      </c>
      <c r="J830" s="61"/>
      <c r="K830" s="61"/>
      <c r="L830" s="42"/>
      <c r="M830" s="42"/>
      <c r="N830" s="42"/>
      <c r="O830" s="42"/>
      <c r="P830" s="42"/>
      <c r="Q830" s="42"/>
      <c r="R830" s="42"/>
      <c r="S830" s="42"/>
      <c r="T830" s="42"/>
      <c r="U830" s="42"/>
      <c r="V830" s="42"/>
      <c r="W830" s="42"/>
      <c r="X830" s="42"/>
      <c r="Y830" s="42"/>
      <c r="Z830" s="42"/>
    </row>
    <row r="831" ht="57.0" customHeight="1">
      <c r="A831" s="57" t="s">
        <v>247</v>
      </c>
      <c r="B831" s="57" t="s">
        <v>162</v>
      </c>
      <c r="C831" s="57" t="s">
        <v>2643</v>
      </c>
      <c r="D831" s="57" t="s">
        <v>2644</v>
      </c>
      <c r="E831" s="57" t="s">
        <v>2645</v>
      </c>
      <c r="F831" s="58">
        <v>3.5E7</v>
      </c>
      <c r="G831" s="57" t="s">
        <v>251</v>
      </c>
      <c r="H831" s="59" t="s">
        <v>252</v>
      </c>
      <c r="I831" s="60" t="s">
        <v>253</v>
      </c>
      <c r="J831" s="61"/>
      <c r="K831" s="61"/>
      <c r="L831" s="42"/>
      <c r="M831" s="42"/>
      <c r="N831" s="42"/>
      <c r="O831" s="42"/>
      <c r="P831" s="42"/>
      <c r="Q831" s="42"/>
      <c r="R831" s="42"/>
      <c r="S831" s="42"/>
      <c r="T831" s="42"/>
      <c r="U831" s="42"/>
      <c r="V831" s="42"/>
      <c r="W831" s="42"/>
      <c r="X831" s="42"/>
      <c r="Y831" s="42"/>
      <c r="Z831" s="42"/>
    </row>
    <row r="832" ht="57.0" customHeight="1">
      <c r="A832" s="57" t="s">
        <v>247</v>
      </c>
      <c r="B832" s="57" t="s">
        <v>162</v>
      </c>
      <c r="C832" s="57" t="s">
        <v>2646</v>
      </c>
      <c r="D832" s="57" t="s">
        <v>2647</v>
      </c>
      <c r="E832" s="57" t="s">
        <v>2648</v>
      </c>
      <c r="F832" s="58">
        <v>8.0E7</v>
      </c>
      <c r="G832" s="57" t="s">
        <v>251</v>
      </c>
      <c r="H832" s="59" t="s">
        <v>252</v>
      </c>
      <c r="I832" s="60" t="s">
        <v>253</v>
      </c>
      <c r="J832" s="61"/>
      <c r="K832" s="61"/>
      <c r="L832" s="42"/>
      <c r="M832" s="42"/>
      <c r="N832" s="42"/>
      <c r="O832" s="42"/>
      <c r="P832" s="42"/>
      <c r="Q832" s="42"/>
      <c r="R832" s="42"/>
      <c r="S832" s="42"/>
      <c r="T832" s="42"/>
      <c r="U832" s="42"/>
      <c r="V832" s="42"/>
      <c r="W832" s="42"/>
      <c r="X832" s="42"/>
      <c r="Y832" s="42"/>
      <c r="Z832" s="42"/>
    </row>
    <row r="833" ht="57.0" customHeight="1">
      <c r="A833" s="57" t="s">
        <v>247</v>
      </c>
      <c r="B833" s="57" t="s">
        <v>162</v>
      </c>
      <c r="C833" s="57" t="s">
        <v>2649</v>
      </c>
      <c r="D833" s="57" t="s">
        <v>2650</v>
      </c>
      <c r="E833" s="57" t="s">
        <v>2651</v>
      </c>
      <c r="F833" s="58">
        <v>900000.0</v>
      </c>
      <c r="G833" s="57" t="s">
        <v>251</v>
      </c>
      <c r="H833" s="59" t="s">
        <v>252</v>
      </c>
      <c r="I833" s="60" t="s">
        <v>253</v>
      </c>
      <c r="J833" s="61"/>
      <c r="K833" s="61"/>
      <c r="L833" s="42"/>
      <c r="M833" s="42"/>
      <c r="N833" s="42"/>
      <c r="O833" s="42"/>
      <c r="P833" s="42"/>
      <c r="Q833" s="42"/>
      <c r="R833" s="42"/>
      <c r="S833" s="42"/>
      <c r="T833" s="42"/>
      <c r="U833" s="42"/>
      <c r="V833" s="42"/>
      <c r="W833" s="42"/>
      <c r="X833" s="42"/>
      <c r="Y833" s="42"/>
      <c r="Z833" s="42"/>
    </row>
    <row r="834" ht="57.0" customHeight="1">
      <c r="A834" s="57" t="s">
        <v>247</v>
      </c>
      <c r="B834" s="57" t="s">
        <v>162</v>
      </c>
      <c r="C834" s="57" t="s">
        <v>2652</v>
      </c>
      <c r="D834" s="57" t="s">
        <v>2653</v>
      </c>
      <c r="E834" s="57" t="s">
        <v>2654</v>
      </c>
      <c r="F834" s="58">
        <v>6500000.0</v>
      </c>
      <c r="G834" s="57" t="s">
        <v>251</v>
      </c>
      <c r="H834" s="59" t="s">
        <v>252</v>
      </c>
      <c r="I834" s="60" t="s">
        <v>253</v>
      </c>
      <c r="J834" s="61"/>
      <c r="K834" s="61"/>
      <c r="L834" s="42"/>
      <c r="M834" s="42"/>
      <c r="N834" s="42"/>
      <c r="O834" s="42"/>
      <c r="P834" s="42"/>
      <c r="Q834" s="42"/>
      <c r="R834" s="42"/>
      <c r="S834" s="42"/>
      <c r="T834" s="42"/>
      <c r="U834" s="42"/>
      <c r="V834" s="42"/>
      <c r="W834" s="42"/>
      <c r="X834" s="42"/>
      <c r="Y834" s="42"/>
      <c r="Z834" s="42"/>
    </row>
    <row r="835" ht="57.0" customHeight="1">
      <c r="A835" s="57" t="s">
        <v>247</v>
      </c>
      <c r="B835" s="57" t="s">
        <v>162</v>
      </c>
      <c r="C835" s="57" t="s">
        <v>2655</v>
      </c>
      <c r="D835" s="57" t="s">
        <v>2656</v>
      </c>
      <c r="E835" s="57" t="s">
        <v>2657</v>
      </c>
      <c r="F835" s="58">
        <v>1.15E7</v>
      </c>
      <c r="G835" s="57" t="s">
        <v>251</v>
      </c>
      <c r="H835" s="59" t="s">
        <v>252</v>
      </c>
      <c r="I835" s="60" t="s">
        <v>253</v>
      </c>
      <c r="J835" s="61"/>
      <c r="K835" s="61"/>
      <c r="L835" s="42"/>
      <c r="M835" s="42"/>
      <c r="N835" s="42"/>
      <c r="O835" s="42"/>
      <c r="P835" s="42"/>
      <c r="Q835" s="42"/>
      <c r="R835" s="42"/>
      <c r="S835" s="42"/>
      <c r="T835" s="42"/>
      <c r="U835" s="42"/>
      <c r="V835" s="42"/>
      <c r="W835" s="42"/>
      <c r="X835" s="42"/>
      <c r="Y835" s="42"/>
      <c r="Z835" s="42"/>
    </row>
    <row r="836" ht="57.0" customHeight="1">
      <c r="A836" s="57" t="s">
        <v>247</v>
      </c>
      <c r="B836" s="57" t="s">
        <v>162</v>
      </c>
      <c r="C836" s="57" t="s">
        <v>2658</v>
      </c>
      <c r="D836" s="57" t="s">
        <v>2659</v>
      </c>
      <c r="E836" s="57" t="s">
        <v>2660</v>
      </c>
      <c r="F836" s="58">
        <v>1.5E7</v>
      </c>
      <c r="G836" s="57" t="s">
        <v>467</v>
      </c>
      <c r="H836" s="59" t="s">
        <v>252</v>
      </c>
      <c r="I836" s="60" t="s">
        <v>253</v>
      </c>
      <c r="J836" s="61"/>
      <c r="K836" s="61"/>
      <c r="L836" s="42"/>
      <c r="M836" s="42"/>
      <c r="N836" s="42"/>
      <c r="O836" s="42"/>
      <c r="P836" s="42"/>
      <c r="Q836" s="42"/>
      <c r="R836" s="42"/>
      <c r="S836" s="42"/>
      <c r="T836" s="42"/>
      <c r="U836" s="42"/>
      <c r="V836" s="42"/>
      <c r="W836" s="42"/>
      <c r="X836" s="42"/>
      <c r="Y836" s="42"/>
      <c r="Z836" s="42"/>
    </row>
    <row r="837" ht="57.0" customHeight="1">
      <c r="A837" s="57" t="s">
        <v>247</v>
      </c>
      <c r="B837" s="57" t="s">
        <v>162</v>
      </c>
      <c r="C837" s="57" t="s">
        <v>2661</v>
      </c>
      <c r="D837" s="57" t="s">
        <v>2662</v>
      </c>
      <c r="E837" s="57" t="s">
        <v>2663</v>
      </c>
      <c r="F837" s="58">
        <v>1.5E7</v>
      </c>
      <c r="G837" s="57" t="s">
        <v>512</v>
      </c>
      <c r="H837" s="59" t="s">
        <v>252</v>
      </c>
      <c r="I837" s="60" t="s">
        <v>253</v>
      </c>
      <c r="J837" s="61"/>
      <c r="K837" s="61"/>
      <c r="L837" s="42"/>
      <c r="M837" s="42"/>
      <c r="N837" s="42"/>
      <c r="O837" s="42"/>
      <c r="P837" s="42"/>
      <c r="Q837" s="42"/>
      <c r="R837" s="42"/>
      <c r="S837" s="42"/>
      <c r="T837" s="42"/>
      <c r="U837" s="42"/>
      <c r="V837" s="42"/>
      <c r="W837" s="42"/>
      <c r="X837" s="42"/>
      <c r="Y837" s="42"/>
      <c r="Z837" s="42"/>
    </row>
    <row r="838" ht="57.0" customHeight="1">
      <c r="A838" s="57" t="s">
        <v>247</v>
      </c>
      <c r="B838" s="57" t="s">
        <v>162</v>
      </c>
      <c r="C838" s="57" t="s">
        <v>2664</v>
      </c>
      <c r="D838" s="57" t="s">
        <v>2665</v>
      </c>
      <c r="E838" s="57" t="s">
        <v>2666</v>
      </c>
      <c r="F838" s="58">
        <v>3500000.0</v>
      </c>
      <c r="G838" s="57" t="s">
        <v>251</v>
      </c>
      <c r="H838" s="59" t="s">
        <v>252</v>
      </c>
      <c r="I838" s="60" t="s">
        <v>253</v>
      </c>
      <c r="J838" s="61"/>
      <c r="K838" s="61"/>
      <c r="L838" s="42"/>
      <c r="M838" s="42"/>
      <c r="N838" s="42"/>
      <c r="O838" s="42"/>
      <c r="P838" s="42"/>
      <c r="Q838" s="42"/>
      <c r="R838" s="42"/>
      <c r="S838" s="42"/>
      <c r="T838" s="42"/>
      <c r="U838" s="42"/>
      <c r="V838" s="42"/>
      <c r="W838" s="42"/>
      <c r="X838" s="42"/>
      <c r="Y838" s="42"/>
      <c r="Z838" s="42"/>
    </row>
    <row r="839" ht="57.0" customHeight="1">
      <c r="A839" s="57" t="s">
        <v>247</v>
      </c>
      <c r="B839" s="57" t="s">
        <v>162</v>
      </c>
      <c r="C839" s="57" t="s">
        <v>2667</v>
      </c>
      <c r="D839" s="57" t="s">
        <v>2668</v>
      </c>
      <c r="E839" s="57" t="s">
        <v>2669</v>
      </c>
      <c r="F839" s="58">
        <v>80000.0</v>
      </c>
      <c r="G839" s="57" t="s">
        <v>664</v>
      </c>
      <c r="H839" s="59" t="s">
        <v>252</v>
      </c>
      <c r="I839" s="60" t="s">
        <v>253</v>
      </c>
      <c r="J839" s="61"/>
      <c r="K839" s="61"/>
      <c r="L839" s="42"/>
      <c r="M839" s="42"/>
      <c r="N839" s="42"/>
      <c r="O839" s="42"/>
      <c r="P839" s="42"/>
      <c r="Q839" s="42"/>
      <c r="R839" s="42"/>
      <c r="S839" s="42"/>
      <c r="T839" s="42"/>
      <c r="U839" s="42"/>
      <c r="V839" s="42"/>
      <c r="W839" s="42"/>
      <c r="X839" s="42"/>
      <c r="Y839" s="42"/>
      <c r="Z839" s="42"/>
    </row>
    <row r="840" ht="57.0" customHeight="1">
      <c r="A840" s="57" t="s">
        <v>247</v>
      </c>
      <c r="B840" s="57" t="s">
        <v>162</v>
      </c>
      <c r="C840" s="57" t="s">
        <v>2670</v>
      </c>
      <c r="D840" s="57" t="s">
        <v>2671</v>
      </c>
      <c r="E840" s="57" t="s">
        <v>2672</v>
      </c>
      <c r="F840" s="71">
        <v>3600000.0</v>
      </c>
      <c r="G840" s="57" t="s">
        <v>251</v>
      </c>
      <c r="H840" s="59" t="s">
        <v>252</v>
      </c>
      <c r="I840" s="60" t="s">
        <v>468</v>
      </c>
      <c r="J840" s="61"/>
      <c r="K840" s="61"/>
      <c r="L840" s="42"/>
      <c r="M840" s="42"/>
      <c r="N840" s="42"/>
      <c r="O840" s="42"/>
      <c r="P840" s="42"/>
      <c r="Q840" s="42"/>
      <c r="R840" s="42"/>
      <c r="S840" s="42"/>
      <c r="T840" s="42"/>
      <c r="U840" s="42"/>
      <c r="V840" s="42"/>
      <c r="W840" s="42"/>
      <c r="X840" s="42"/>
      <c r="Y840" s="42"/>
      <c r="Z840" s="42"/>
    </row>
    <row r="841" ht="57.0" customHeight="1">
      <c r="A841" s="57" t="s">
        <v>247</v>
      </c>
      <c r="B841" s="57" t="s">
        <v>162</v>
      </c>
      <c r="C841" s="57" t="s">
        <v>2673</v>
      </c>
      <c r="D841" s="57" t="s">
        <v>2674</v>
      </c>
      <c r="E841" s="57" t="s">
        <v>2675</v>
      </c>
      <c r="F841" s="71">
        <v>4000000.0</v>
      </c>
      <c r="G841" s="57" t="s">
        <v>251</v>
      </c>
      <c r="H841" s="59" t="s">
        <v>252</v>
      </c>
      <c r="I841" s="60" t="s">
        <v>468</v>
      </c>
      <c r="J841" s="61"/>
      <c r="K841" s="61"/>
      <c r="L841" s="42"/>
      <c r="M841" s="42"/>
      <c r="N841" s="42"/>
      <c r="O841" s="42"/>
      <c r="P841" s="42"/>
      <c r="Q841" s="42"/>
      <c r="R841" s="42"/>
      <c r="S841" s="42"/>
      <c r="T841" s="42"/>
      <c r="U841" s="42"/>
      <c r="V841" s="42"/>
      <c r="W841" s="42"/>
      <c r="X841" s="42"/>
      <c r="Y841" s="42"/>
      <c r="Z841" s="42"/>
    </row>
    <row r="842" ht="57.0" customHeight="1">
      <c r="A842" s="57" t="s">
        <v>247</v>
      </c>
      <c r="B842" s="57" t="s">
        <v>162</v>
      </c>
      <c r="C842" s="57" t="s">
        <v>2676</v>
      </c>
      <c r="D842" s="57" t="s">
        <v>2677</v>
      </c>
      <c r="E842" s="57" t="s">
        <v>2678</v>
      </c>
      <c r="F842" s="71">
        <v>5000000.0</v>
      </c>
      <c r="G842" s="57" t="s">
        <v>251</v>
      </c>
      <c r="H842" s="59" t="s">
        <v>252</v>
      </c>
      <c r="I842" s="60" t="s">
        <v>468</v>
      </c>
      <c r="J842" s="61"/>
      <c r="K842" s="61"/>
      <c r="L842" s="42"/>
      <c r="M842" s="42"/>
      <c r="N842" s="42"/>
      <c r="O842" s="42"/>
      <c r="P842" s="42"/>
      <c r="Q842" s="42"/>
      <c r="R842" s="42"/>
      <c r="S842" s="42"/>
      <c r="T842" s="42"/>
      <c r="U842" s="42"/>
      <c r="V842" s="42"/>
      <c r="W842" s="42"/>
      <c r="X842" s="42"/>
      <c r="Y842" s="42"/>
      <c r="Z842" s="42"/>
    </row>
    <row r="843" ht="85.5" customHeight="1">
      <c r="A843" s="57" t="s">
        <v>247</v>
      </c>
      <c r="B843" s="57" t="s">
        <v>162</v>
      </c>
      <c r="C843" s="57" t="s">
        <v>2679</v>
      </c>
      <c r="D843" s="57" t="s">
        <v>2680</v>
      </c>
      <c r="E843" s="57" t="s">
        <v>2681</v>
      </c>
      <c r="F843" s="71">
        <v>1.0E7</v>
      </c>
      <c r="G843" s="57" t="s">
        <v>251</v>
      </c>
      <c r="H843" s="59" t="s">
        <v>252</v>
      </c>
      <c r="I843" s="60" t="s">
        <v>468</v>
      </c>
      <c r="J843" s="61"/>
      <c r="K843" s="61"/>
      <c r="L843" s="42"/>
      <c r="M843" s="42"/>
      <c r="N843" s="42"/>
      <c r="O843" s="42"/>
      <c r="P843" s="42"/>
      <c r="Q843" s="42"/>
      <c r="R843" s="42"/>
      <c r="S843" s="42"/>
      <c r="T843" s="42"/>
      <c r="U843" s="42"/>
      <c r="V843" s="42"/>
      <c r="W843" s="42"/>
      <c r="X843" s="42"/>
      <c r="Y843" s="42"/>
      <c r="Z843" s="42"/>
    </row>
    <row r="844" ht="85.5" customHeight="1">
      <c r="A844" s="57" t="s">
        <v>247</v>
      </c>
      <c r="B844" s="57" t="s">
        <v>162</v>
      </c>
      <c r="C844" s="57" t="s">
        <v>2682</v>
      </c>
      <c r="D844" s="57" t="s">
        <v>2683</v>
      </c>
      <c r="E844" s="57" t="s">
        <v>2684</v>
      </c>
      <c r="F844" s="71">
        <v>2.0E7</v>
      </c>
      <c r="G844" s="57" t="s">
        <v>251</v>
      </c>
      <c r="H844" s="59" t="s">
        <v>252</v>
      </c>
      <c r="I844" s="60" t="s">
        <v>468</v>
      </c>
      <c r="J844" s="61"/>
      <c r="K844" s="61"/>
      <c r="L844" s="42"/>
      <c r="M844" s="42"/>
      <c r="N844" s="42"/>
      <c r="O844" s="42"/>
      <c r="P844" s="42"/>
      <c r="Q844" s="42"/>
      <c r="R844" s="42"/>
      <c r="S844" s="42"/>
      <c r="T844" s="42"/>
      <c r="U844" s="42"/>
      <c r="V844" s="42"/>
      <c r="W844" s="42"/>
      <c r="X844" s="42"/>
      <c r="Y844" s="42"/>
      <c r="Z844" s="42"/>
    </row>
    <row r="845" ht="85.5" customHeight="1">
      <c r="A845" s="57" t="s">
        <v>247</v>
      </c>
      <c r="B845" s="57" t="s">
        <v>162</v>
      </c>
      <c r="C845" s="57" t="s">
        <v>2685</v>
      </c>
      <c r="D845" s="57" t="s">
        <v>2686</v>
      </c>
      <c r="E845" s="59" t="s">
        <v>2687</v>
      </c>
      <c r="F845" s="71">
        <v>3.0E7</v>
      </c>
      <c r="G845" s="57" t="s">
        <v>251</v>
      </c>
      <c r="H845" s="59" t="s">
        <v>252</v>
      </c>
      <c r="I845" s="60" t="s">
        <v>468</v>
      </c>
      <c r="J845" s="61"/>
      <c r="K845" s="61"/>
      <c r="L845" s="42"/>
      <c r="M845" s="42"/>
      <c r="N845" s="42"/>
      <c r="O845" s="42"/>
      <c r="P845" s="42"/>
      <c r="Q845" s="42"/>
      <c r="R845" s="42"/>
      <c r="S845" s="42"/>
      <c r="T845" s="42"/>
      <c r="U845" s="42"/>
      <c r="V845" s="42"/>
      <c r="W845" s="42"/>
      <c r="X845" s="42"/>
      <c r="Y845" s="42"/>
      <c r="Z845" s="42"/>
    </row>
    <row r="846" ht="85.5" customHeight="1">
      <c r="A846" s="57" t="s">
        <v>247</v>
      </c>
      <c r="B846" s="57" t="s">
        <v>162</v>
      </c>
      <c r="C846" s="57" t="s">
        <v>2688</v>
      </c>
      <c r="D846" s="57" t="s">
        <v>2689</v>
      </c>
      <c r="E846" s="59" t="s">
        <v>2690</v>
      </c>
      <c r="F846" s="69">
        <v>5.0E7</v>
      </c>
      <c r="G846" s="57" t="s">
        <v>251</v>
      </c>
      <c r="H846" s="59" t="s">
        <v>252</v>
      </c>
      <c r="I846" s="60" t="s">
        <v>468</v>
      </c>
      <c r="J846" s="61"/>
      <c r="K846" s="61"/>
      <c r="L846" s="42"/>
      <c r="M846" s="42"/>
      <c r="N846" s="42"/>
      <c r="O846" s="42"/>
      <c r="P846" s="42"/>
      <c r="Q846" s="42"/>
      <c r="R846" s="42"/>
      <c r="S846" s="42"/>
      <c r="T846" s="42"/>
      <c r="U846" s="42"/>
      <c r="V846" s="42"/>
      <c r="W846" s="42"/>
      <c r="X846" s="42"/>
      <c r="Y846" s="42"/>
      <c r="Z846" s="42"/>
    </row>
    <row r="847" ht="57.0" customHeight="1">
      <c r="A847" s="57" t="s">
        <v>247</v>
      </c>
      <c r="B847" s="57" t="s">
        <v>162</v>
      </c>
      <c r="C847" s="57" t="s">
        <v>2691</v>
      </c>
      <c r="D847" s="57" t="s">
        <v>2692</v>
      </c>
      <c r="E847" s="57" t="s">
        <v>2693</v>
      </c>
      <c r="F847" s="71">
        <v>730000.0</v>
      </c>
      <c r="G847" s="57" t="s">
        <v>467</v>
      </c>
      <c r="H847" s="59" t="s">
        <v>594</v>
      </c>
      <c r="I847" s="60" t="s">
        <v>2694</v>
      </c>
      <c r="J847" s="61" t="s">
        <v>2695</v>
      </c>
      <c r="K847" s="67">
        <v>27485.0</v>
      </c>
      <c r="L847" s="42"/>
      <c r="M847" s="42"/>
      <c r="N847" s="42"/>
      <c r="O847" s="42"/>
      <c r="P847" s="42"/>
      <c r="Q847" s="42"/>
      <c r="R847" s="42"/>
      <c r="S847" s="42"/>
      <c r="T847" s="42"/>
      <c r="U847" s="42"/>
      <c r="V847" s="42"/>
      <c r="W847" s="42"/>
      <c r="X847" s="42"/>
      <c r="Y847" s="42"/>
      <c r="Z847" s="42"/>
    </row>
    <row r="848" ht="28.5" customHeight="1">
      <c r="A848" s="57" t="s">
        <v>247</v>
      </c>
      <c r="B848" s="57" t="s">
        <v>162</v>
      </c>
      <c r="C848" s="57" t="s">
        <v>2696</v>
      </c>
      <c r="D848" s="57" t="s">
        <v>2697</v>
      </c>
      <c r="E848" s="57" t="s">
        <v>2698</v>
      </c>
      <c r="F848" s="58">
        <v>4000000.0</v>
      </c>
      <c r="G848" s="57" t="s">
        <v>467</v>
      </c>
      <c r="H848" s="59" t="s">
        <v>252</v>
      </c>
      <c r="I848" s="59" t="s">
        <v>472</v>
      </c>
      <c r="J848" s="61"/>
      <c r="K848" s="61"/>
      <c r="L848" s="42"/>
      <c r="M848" s="42"/>
      <c r="N848" s="42"/>
      <c r="O848" s="42"/>
      <c r="P848" s="42"/>
      <c r="Q848" s="42"/>
      <c r="R848" s="42"/>
      <c r="S848" s="42"/>
      <c r="T848" s="42"/>
      <c r="U848" s="42"/>
      <c r="V848" s="42"/>
      <c r="W848" s="42"/>
      <c r="X848" s="42"/>
      <c r="Y848" s="42"/>
      <c r="Z848" s="42"/>
    </row>
    <row r="849" ht="28.5" customHeight="1">
      <c r="A849" s="57" t="s">
        <v>247</v>
      </c>
      <c r="B849" s="57" t="s">
        <v>162</v>
      </c>
      <c r="C849" s="57" t="s">
        <v>2699</v>
      </c>
      <c r="D849" s="57" t="s">
        <v>2700</v>
      </c>
      <c r="E849" s="57" t="s">
        <v>2701</v>
      </c>
      <c r="F849" s="58">
        <v>500000.0</v>
      </c>
      <c r="G849" s="57" t="s">
        <v>251</v>
      </c>
      <c r="H849" s="59" t="s">
        <v>252</v>
      </c>
      <c r="I849" s="59" t="s">
        <v>472</v>
      </c>
      <c r="J849" s="61"/>
      <c r="K849" s="61"/>
      <c r="L849" s="42"/>
      <c r="M849" s="42"/>
      <c r="N849" s="42"/>
      <c r="O849" s="42"/>
      <c r="P849" s="42"/>
      <c r="Q849" s="42"/>
      <c r="R849" s="42"/>
      <c r="S849" s="42"/>
      <c r="T849" s="42"/>
      <c r="U849" s="42"/>
      <c r="V849" s="42"/>
      <c r="W849" s="42"/>
      <c r="X849" s="42"/>
      <c r="Y849" s="42"/>
      <c r="Z849" s="42"/>
    </row>
    <row r="850" ht="91.5" customHeight="1">
      <c r="A850" s="57" t="s">
        <v>247</v>
      </c>
      <c r="B850" s="57" t="s">
        <v>162</v>
      </c>
      <c r="C850" s="57" t="s">
        <v>2702</v>
      </c>
      <c r="D850" s="57" t="s">
        <v>2703</v>
      </c>
      <c r="E850" s="57" t="s">
        <v>2704</v>
      </c>
      <c r="F850" s="58">
        <v>2500000.0</v>
      </c>
      <c r="G850" s="57" t="s">
        <v>251</v>
      </c>
      <c r="H850" s="59" t="s">
        <v>252</v>
      </c>
      <c r="I850" s="59" t="s">
        <v>472</v>
      </c>
      <c r="J850" s="61"/>
      <c r="K850" s="61"/>
      <c r="L850" s="42"/>
      <c r="M850" s="42"/>
      <c r="N850" s="42"/>
      <c r="O850" s="42"/>
      <c r="P850" s="42"/>
      <c r="Q850" s="42"/>
      <c r="R850" s="42"/>
      <c r="S850" s="42"/>
      <c r="T850" s="42"/>
      <c r="U850" s="42"/>
      <c r="V850" s="42"/>
      <c r="W850" s="42"/>
      <c r="X850" s="42"/>
      <c r="Y850" s="42"/>
      <c r="Z850" s="42"/>
    </row>
    <row r="851" ht="85.5" customHeight="1">
      <c r="A851" s="57" t="s">
        <v>247</v>
      </c>
      <c r="B851" s="57" t="s">
        <v>162</v>
      </c>
      <c r="C851" s="57" t="s">
        <v>2705</v>
      </c>
      <c r="D851" s="57" t="s">
        <v>2706</v>
      </c>
      <c r="E851" s="57" t="s">
        <v>2707</v>
      </c>
      <c r="F851" s="58">
        <v>4500000.0</v>
      </c>
      <c r="G851" s="57" t="s">
        <v>251</v>
      </c>
      <c r="H851" s="59" t="s">
        <v>252</v>
      </c>
      <c r="I851" s="59" t="s">
        <v>472</v>
      </c>
      <c r="J851" s="61"/>
      <c r="K851" s="61"/>
      <c r="L851" s="42"/>
      <c r="M851" s="42"/>
      <c r="N851" s="42"/>
      <c r="O851" s="42"/>
      <c r="P851" s="42"/>
      <c r="Q851" s="42"/>
      <c r="R851" s="42"/>
      <c r="S851" s="42"/>
      <c r="T851" s="42"/>
      <c r="U851" s="42"/>
      <c r="V851" s="42"/>
      <c r="W851" s="42"/>
      <c r="X851" s="42"/>
      <c r="Y851" s="42"/>
      <c r="Z851" s="42"/>
    </row>
    <row r="852" ht="114.0" customHeight="1">
      <c r="A852" s="57" t="s">
        <v>247</v>
      </c>
      <c r="B852" s="57" t="s">
        <v>162</v>
      </c>
      <c r="C852" s="57" t="s">
        <v>2708</v>
      </c>
      <c r="D852" s="57" t="s">
        <v>2709</v>
      </c>
      <c r="E852" s="57" t="s">
        <v>2710</v>
      </c>
      <c r="F852" s="58">
        <v>1.2E7</v>
      </c>
      <c r="G852" s="57" t="s">
        <v>251</v>
      </c>
      <c r="H852" s="59" t="s">
        <v>252</v>
      </c>
      <c r="I852" s="59" t="s">
        <v>472</v>
      </c>
      <c r="J852" s="61"/>
      <c r="K852" s="61"/>
      <c r="L852" s="42"/>
      <c r="M852" s="42"/>
      <c r="N852" s="42"/>
      <c r="O852" s="42"/>
      <c r="P852" s="42"/>
      <c r="Q852" s="42"/>
      <c r="R852" s="42"/>
      <c r="S852" s="42"/>
      <c r="T852" s="42"/>
      <c r="U852" s="42"/>
      <c r="V852" s="42"/>
      <c r="W852" s="42"/>
      <c r="X852" s="42"/>
      <c r="Y852" s="42"/>
      <c r="Z852" s="42"/>
    </row>
    <row r="853" ht="114.0" customHeight="1">
      <c r="A853" s="57" t="s">
        <v>247</v>
      </c>
      <c r="B853" s="57" t="s">
        <v>162</v>
      </c>
      <c r="C853" s="57" t="s">
        <v>2711</v>
      </c>
      <c r="D853" s="57" t="s">
        <v>2712</v>
      </c>
      <c r="E853" s="57" t="s">
        <v>2713</v>
      </c>
      <c r="F853" s="58">
        <v>1.2E7</v>
      </c>
      <c r="G853" s="57" t="s">
        <v>251</v>
      </c>
      <c r="H853" s="59" t="s">
        <v>252</v>
      </c>
      <c r="I853" s="59" t="s">
        <v>635</v>
      </c>
      <c r="J853" s="61"/>
      <c r="K853" s="61"/>
      <c r="L853" s="42"/>
      <c r="M853" s="42"/>
      <c r="N853" s="42"/>
      <c r="O853" s="42"/>
      <c r="P853" s="42"/>
      <c r="Q853" s="42"/>
      <c r="R853" s="42"/>
      <c r="S853" s="42"/>
      <c r="T853" s="42"/>
      <c r="U853" s="42"/>
      <c r="V853" s="42"/>
      <c r="W853" s="42"/>
      <c r="X853" s="42"/>
      <c r="Y853" s="42"/>
      <c r="Z853" s="42"/>
    </row>
    <row r="854" ht="114.0" customHeight="1">
      <c r="A854" s="57" t="s">
        <v>247</v>
      </c>
      <c r="B854" s="57" t="s">
        <v>162</v>
      </c>
      <c r="C854" s="57" t="s">
        <v>2714</v>
      </c>
      <c r="D854" s="57" t="s">
        <v>2715</v>
      </c>
      <c r="E854" s="57" t="s">
        <v>2716</v>
      </c>
      <c r="F854" s="58">
        <v>5.0E7</v>
      </c>
      <c r="G854" s="57" t="s">
        <v>251</v>
      </c>
      <c r="H854" s="59" t="s">
        <v>252</v>
      </c>
      <c r="I854" s="59" t="s">
        <v>635</v>
      </c>
      <c r="J854" s="61"/>
      <c r="K854" s="61"/>
      <c r="L854" s="42"/>
      <c r="M854" s="42"/>
      <c r="N854" s="42"/>
      <c r="O854" s="42"/>
      <c r="P854" s="42"/>
      <c r="Q854" s="42"/>
      <c r="R854" s="42"/>
      <c r="S854" s="42"/>
      <c r="T854" s="42"/>
      <c r="U854" s="42"/>
      <c r="V854" s="42"/>
      <c r="W854" s="42"/>
      <c r="X854" s="42"/>
      <c r="Y854" s="42"/>
      <c r="Z854" s="42"/>
    </row>
    <row r="855" ht="114.0" customHeight="1">
      <c r="A855" s="57" t="s">
        <v>247</v>
      </c>
      <c r="B855" s="57" t="s">
        <v>162</v>
      </c>
      <c r="C855" s="57" t="s">
        <v>2717</v>
      </c>
      <c r="D855" s="57" t="s">
        <v>2718</v>
      </c>
      <c r="E855" s="57" t="s">
        <v>2719</v>
      </c>
      <c r="F855" s="58">
        <v>8.5E7</v>
      </c>
      <c r="G855" s="57" t="s">
        <v>251</v>
      </c>
      <c r="H855" s="59" t="s">
        <v>252</v>
      </c>
      <c r="I855" s="59" t="s">
        <v>635</v>
      </c>
      <c r="J855" s="61"/>
      <c r="K855" s="61"/>
      <c r="L855" s="42"/>
      <c r="M855" s="42"/>
      <c r="N855" s="42"/>
      <c r="O855" s="42"/>
      <c r="P855" s="42"/>
      <c r="Q855" s="42"/>
      <c r="R855" s="42"/>
      <c r="S855" s="42"/>
      <c r="T855" s="42"/>
      <c r="U855" s="42"/>
      <c r="V855" s="42"/>
      <c r="W855" s="42"/>
      <c r="X855" s="42"/>
      <c r="Y855" s="42"/>
      <c r="Z855" s="42"/>
    </row>
    <row r="856" ht="114.0" customHeight="1">
      <c r="A856" s="57" t="s">
        <v>247</v>
      </c>
      <c r="B856" s="57" t="s">
        <v>162</v>
      </c>
      <c r="C856" s="57" t="s">
        <v>2720</v>
      </c>
      <c r="D856" s="57" t="s">
        <v>2721</v>
      </c>
      <c r="E856" s="57" t="s">
        <v>2722</v>
      </c>
      <c r="F856" s="58">
        <v>3000000.0</v>
      </c>
      <c r="G856" s="57" t="s">
        <v>251</v>
      </c>
      <c r="H856" s="59" t="s">
        <v>252</v>
      </c>
      <c r="I856" s="59" t="s">
        <v>272</v>
      </c>
      <c r="J856" s="61"/>
      <c r="K856" s="61"/>
      <c r="L856" s="42"/>
      <c r="M856" s="42"/>
      <c r="N856" s="42"/>
      <c r="O856" s="42"/>
      <c r="P856" s="42"/>
      <c r="Q856" s="42"/>
      <c r="R856" s="42"/>
      <c r="S856" s="42"/>
      <c r="T856" s="42"/>
      <c r="U856" s="42"/>
      <c r="V856" s="42"/>
      <c r="W856" s="42"/>
      <c r="X856" s="42"/>
      <c r="Y856" s="42"/>
      <c r="Z856" s="42"/>
    </row>
    <row r="857" ht="114.0" customHeight="1">
      <c r="A857" s="57" t="s">
        <v>247</v>
      </c>
      <c r="B857" s="57" t="s">
        <v>162</v>
      </c>
      <c r="C857" s="57" t="s">
        <v>2723</v>
      </c>
      <c r="D857" s="57" t="s">
        <v>2724</v>
      </c>
      <c r="E857" s="57" t="s">
        <v>2725</v>
      </c>
      <c r="F857" s="58">
        <v>6500000.0</v>
      </c>
      <c r="G857" s="57" t="s">
        <v>251</v>
      </c>
      <c r="H857" s="59" t="s">
        <v>252</v>
      </c>
      <c r="I857" s="59" t="s">
        <v>272</v>
      </c>
      <c r="J857" s="61"/>
      <c r="K857" s="61"/>
      <c r="L857" s="42"/>
      <c r="M857" s="42"/>
      <c r="N857" s="42"/>
      <c r="O857" s="42"/>
      <c r="P857" s="42"/>
      <c r="Q857" s="42"/>
      <c r="R857" s="42"/>
      <c r="S857" s="42"/>
      <c r="T857" s="42"/>
      <c r="U857" s="42"/>
      <c r="V857" s="42"/>
      <c r="W857" s="42"/>
      <c r="X857" s="42"/>
      <c r="Y857" s="42"/>
      <c r="Z857" s="42"/>
    </row>
    <row r="858" ht="114.0" customHeight="1">
      <c r="A858" s="57" t="s">
        <v>247</v>
      </c>
      <c r="B858" s="57" t="s">
        <v>162</v>
      </c>
      <c r="C858" s="57" t="s">
        <v>2726</v>
      </c>
      <c r="D858" s="57" t="s">
        <v>2727</v>
      </c>
      <c r="E858" s="57"/>
      <c r="F858" s="58">
        <v>1500000.0</v>
      </c>
      <c r="G858" s="57" t="s">
        <v>251</v>
      </c>
      <c r="H858" s="59" t="s">
        <v>252</v>
      </c>
      <c r="I858" s="59" t="s">
        <v>272</v>
      </c>
      <c r="J858" s="61"/>
      <c r="K858" s="61"/>
      <c r="L858" s="42"/>
      <c r="M858" s="42"/>
      <c r="N858" s="42"/>
      <c r="O858" s="42"/>
      <c r="P858" s="42"/>
      <c r="Q858" s="42"/>
      <c r="R858" s="42"/>
      <c r="S858" s="42"/>
      <c r="T858" s="42"/>
      <c r="U858" s="42"/>
      <c r="V858" s="42"/>
      <c r="W858" s="42"/>
      <c r="X858" s="42"/>
      <c r="Y858" s="42"/>
      <c r="Z858" s="42"/>
    </row>
    <row r="859" ht="30.75" customHeight="1">
      <c r="A859" s="52" t="s">
        <v>247</v>
      </c>
      <c r="B859" s="52" t="s">
        <v>165</v>
      </c>
      <c r="C859" s="52" t="s">
        <v>166</v>
      </c>
      <c r="D859" s="52" t="s">
        <v>167</v>
      </c>
      <c r="E859" s="52"/>
      <c r="F859" s="62"/>
      <c r="G859" s="52"/>
      <c r="H859" s="63"/>
      <c r="I859" s="63"/>
      <c r="J859" s="54"/>
      <c r="K859" s="54"/>
      <c r="L859" s="56"/>
      <c r="M859" s="56"/>
      <c r="N859" s="56"/>
      <c r="O859" s="56"/>
      <c r="P859" s="56"/>
      <c r="Q859" s="56"/>
      <c r="R859" s="56"/>
      <c r="S859" s="56"/>
      <c r="T859" s="56"/>
      <c r="U859" s="56"/>
      <c r="V859" s="56"/>
      <c r="W859" s="56"/>
      <c r="X859" s="56"/>
      <c r="Y859" s="56"/>
      <c r="Z859" s="56"/>
    </row>
    <row r="860" ht="57.0" customHeight="1">
      <c r="A860" s="57" t="s">
        <v>247</v>
      </c>
      <c r="B860" s="57" t="s">
        <v>165</v>
      </c>
      <c r="C860" s="57" t="s">
        <v>2728</v>
      </c>
      <c r="D860" s="57" t="s">
        <v>2729</v>
      </c>
      <c r="E860" s="57" t="s">
        <v>2730</v>
      </c>
      <c r="F860" s="58">
        <v>400000.0</v>
      </c>
      <c r="G860" s="57" t="s">
        <v>251</v>
      </c>
      <c r="H860" s="59" t="s">
        <v>252</v>
      </c>
      <c r="I860" s="59" t="s">
        <v>472</v>
      </c>
      <c r="J860" s="61"/>
      <c r="K860" s="61"/>
      <c r="L860" s="42"/>
      <c r="M860" s="42"/>
      <c r="N860" s="42"/>
      <c r="O860" s="42"/>
      <c r="P860" s="42"/>
      <c r="Q860" s="42"/>
      <c r="R860" s="42"/>
      <c r="S860" s="42"/>
      <c r="T860" s="42"/>
      <c r="U860" s="42"/>
      <c r="V860" s="42"/>
      <c r="W860" s="42"/>
      <c r="X860" s="42"/>
      <c r="Y860" s="42"/>
      <c r="Z860" s="42"/>
    </row>
    <row r="861" ht="30.75" customHeight="1">
      <c r="A861" s="52" t="s">
        <v>247</v>
      </c>
      <c r="B861" s="52" t="s">
        <v>168</v>
      </c>
      <c r="C861" s="52" t="s">
        <v>169</v>
      </c>
      <c r="D861" s="52" t="s">
        <v>170</v>
      </c>
      <c r="E861" s="52"/>
      <c r="F861" s="62"/>
      <c r="G861" s="52"/>
      <c r="H861" s="63"/>
      <c r="I861" s="63"/>
      <c r="J861" s="54"/>
      <c r="K861" s="54"/>
      <c r="L861" s="56"/>
      <c r="M861" s="56"/>
      <c r="N861" s="56"/>
      <c r="O861" s="56"/>
      <c r="P861" s="56"/>
      <c r="Q861" s="56"/>
      <c r="R861" s="56"/>
      <c r="S861" s="56"/>
      <c r="T861" s="56"/>
      <c r="U861" s="56"/>
      <c r="V861" s="56"/>
      <c r="W861" s="56"/>
      <c r="X861" s="56"/>
      <c r="Y861" s="56"/>
      <c r="Z861" s="56"/>
    </row>
    <row r="862" ht="28.5" customHeight="1">
      <c r="A862" s="57" t="s">
        <v>247</v>
      </c>
      <c r="B862" s="57" t="s">
        <v>168</v>
      </c>
      <c r="C862" s="57" t="s">
        <v>2731</v>
      </c>
      <c r="D862" s="57" t="s">
        <v>2732</v>
      </c>
      <c r="E862" s="57" t="s">
        <v>2733</v>
      </c>
      <c r="F862" s="58">
        <v>150000.0</v>
      </c>
      <c r="G862" s="57" t="s">
        <v>467</v>
      </c>
      <c r="H862" s="59" t="s">
        <v>252</v>
      </c>
      <c r="I862" s="59" t="s">
        <v>472</v>
      </c>
      <c r="J862" s="61"/>
      <c r="K862" s="61"/>
      <c r="L862" s="42"/>
      <c r="M862" s="42"/>
      <c r="N862" s="42"/>
      <c r="O862" s="42"/>
      <c r="P862" s="42"/>
      <c r="Q862" s="42"/>
      <c r="R862" s="42"/>
      <c r="S862" s="42"/>
      <c r="T862" s="42"/>
      <c r="U862" s="42"/>
      <c r="V862" s="42"/>
      <c r="W862" s="42"/>
      <c r="X862" s="42"/>
      <c r="Y862" s="42"/>
      <c r="Z862" s="42"/>
    </row>
    <row r="863" ht="28.5" customHeight="1">
      <c r="A863" s="57" t="s">
        <v>247</v>
      </c>
      <c r="B863" s="57" t="s">
        <v>168</v>
      </c>
      <c r="C863" s="57" t="s">
        <v>2734</v>
      </c>
      <c r="D863" s="57" t="s">
        <v>2735</v>
      </c>
      <c r="E863" s="57" t="s">
        <v>2736</v>
      </c>
      <c r="F863" s="58">
        <v>43000.0</v>
      </c>
      <c r="G863" s="57" t="s">
        <v>467</v>
      </c>
      <c r="H863" s="59" t="s">
        <v>252</v>
      </c>
      <c r="I863" s="59" t="s">
        <v>472</v>
      </c>
      <c r="J863" s="61"/>
      <c r="K863" s="61"/>
      <c r="L863" s="42"/>
      <c r="M863" s="42"/>
      <c r="N863" s="42"/>
      <c r="O863" s="42"/>
      <c r="P863" s="42"/>
      <c r="Q863" s="42"/>
      <c r="R863" s="42"/>
      <c r="S863" s="42"/>
      <c r="T863" s="42"/>
      <c r="U863" s="42"/>
      <c r="V863" s="42"/>
      <c r="W863" s="42"/>
      <c r="X863" s="42"/>
      <c r="Y863" s="42"/>
      <c r="Z863" s="42"/>
    </row>
    <row r="864" ht="28.5" customHeight="1">
      <c r="A864" s="57" t="s">
        <v>247</v>
      </c>
      <c r="B864" s="57" t="s">
        <v>168</v>
      </c>
      <c r="C864" s="57" t="s">
        <v>2737</v>
      </c>
      <c r="D864" s="57" t="s">
        <v>2738</v>
      </c>
      <c r="E864" s="57" t="s">
        <v>2739</v>
      </c>
      <c r="F864" s="58">
        <v>5650000.0</v>
      </c>
      <c r="G864" s="57" t="s">
        <v>467</v>
      </c>
      <c r="H864" s="59" t="s">
        <v>252</v>
      </c>
      <c r="I864" s="59" t="s">
        <v>472</v>
      </c>
      <c r="J864" s="61"/>
      <c r="K864" s="61"/>
      <c r="L864" s="42"/>
      <c r="M864" s="42"/>
      <c r="N864" s="42"/>
      <c r="O864" s="42"/>
      <c r="P864" s="42"/>
      <c r="Q864" s="42"/>
      <c r="R864" s="42"/>
      <c r="S864" s="42"/>
      <c r="T864" s="42"/>
      <c r="U864" s="42"/>
      <c r="V864" s="42"/>
      <c r="W864" s="42"/>
      <c r="X864" s="42"/>
      <c r="Y864" s="42"/>
      <c r="Z864" s="42"/>
    </row>
    <row r="865" ht="30.75" customHeight="1">
      <c r="A865" s="57" t="s">
        <v>247</v>
      </c>
      <c r="B865" s="57" t="s">
        <v>168</v>
      </c>
      <c r="C865" s="57" t="s">
        <v>2740</v>
      </c>
      <c r="D865" s="57" t="s">
        <v>2741</v>
      </c>
      <c r="E865" s="57" t="s">
        <v>2742</v>
      </c>
      <c r="F865" s="58">
        <v>300000.0</v>
      </c>
      <c r="G865" s="57" t="s">
        <v>251</v>
      </c>
      <c r="H865" s="59" t="s">
        <v>252</v>
      </c>
      <c r="I865" s="60" t="s">
        <v>253</v>
      </c>
      <c r="J865" s="61"/>
      <c r="K865" s="61"/>
      <c r="L865" s="42"/>
      <c r="M865" s="42"/>
      <c r="N865" s="42"/>
      <c r="O865" s="42"/>
      <c r="P865" s="42"/>
      <c r="Q865" s="42"/>
      <c r="R865" s="42"/>
      <c r="S865" s="42"/>
      <c r="T865" s="42"/>
      <c r="U865" s="42"/>
      <c r="V865" s="42"/>
      <c r="W865" s="42"/>
      <c r="X865" s="42"/>
      <c r="Y865" s="42"/>
      <c r="Z865" s="42"/>
    </row>
    <row r="866" ht="30.75" customHeight="1">
      <c r="A866" s="57" t="s">
        <v>247</v>
      </c>
      <c r="B866" s="57" t="s">
        <v>168</v>
      </c>
      <c r="C866" s="57" t="s">
        <v>2743</v>
      </c>
      <c r="D866" s="57" t="s">
        <v>2744</v>
      </c>
      <c r="E866" s="57" t="s">
        <v>2745</v>
      </c>
      <c r="F866" s="58">
        <v>500000.0</v>
      </c>
      <c r="G866" s="57" t="s">
        <v>251</v>
      </c>
      <c r="H866" s="59" t="s">
        <v>252</v>
      </c>
      <c r="I866" s="60" t="s">
        <v>272</v>
      </c>
      <c r="J866" s="61"/>
      <c r="K866" s="61"/>
      <c r="L866" s="42"/>
      <c r="M866" s="42"/>
      <c r="N866" s="42"/>
      <c r="O866" s="42"/>
      <c r="P866" s="42"/>
      <c r="Q866" s="42"/>
      <c r="R866" s="42"/>
      <c r="S866" s="42"/>
      <c r="T866" s="42"/>
      <c r="U866" s="42"/>
      <c r="V866" s="42"/>
      <c r="W866" s="42"/>
      <c r="X866" s="42"/>
      <c r="Y866" s="42"/>
      <c r="Z866" s="42"/>
    </row>
    <row r="867" ht="30.75" customHeight="1">
      <c r="A867" s="52" t="s">
        <v>247</v>
      </c>
      <c r="B867" s="52" t="s">
        <v>171</v>
      </c>
      <c r="C867" s="52" t="s">
        <v>172</v>
      </c>
      <c r="D867" s="52" t="s">
        <v>173</v>
      </c>
      <c r="E867" s="52"/>
      <c r="F867" s="62"/>
      <c r="G867" s="52"/>
      <c r="H867" s="63"/>
      <c r="I867" s="63"/>
      <c r="J867" s="54"/>
      <c r="K867" s="54"/>
      <c r="L867" s="56"/>
      <c r="M867" s="56"/>
      <c r="N867" s="56"/>
      <c r="O867" s="56"/>
      <c r="P867" s="56"/>
      <c r="Q867" s="56"/>
      <c r="R867" s="56"/>
      <c r="S867" s="56"/>
      <c r="T867" s="56"/>
      <c r="U867" s="56"/>
      <c r="V867" s="56"/>
      <c r="W867" s="56"/>
      <c r="X867" s="56"/>
      <c r="Y867" s="56"/>
      <c r="Z867" s="56"/>
    </row>
    <row r="868" ht="85.5" customHeight="1">
      <c r="A868" s="57" t="s">
        <v>247</v>
      </c>
      <c r="B868" s="57" t="s">
        <v>171</v>
      </c>
      <c r="C868" s="57" t="s">
        <v>2746</v>
      </c>
      <c r="D868" s="57" t="s">
        <v>2747</v>
      </c>
      <c r="E868" s="57" t="s">
        <v>2748</v>
      </c>
      <c r="F868" s="58">
        <v>1.2E7</v>
      </c>
      <c r="G868" s="57" t="s">
        <v>251</v>
      </c>
      <c r="H868" s="59" t="s">
        <v>252</v>
      </c>
      <c r="I868" s="59" t="s">
        <v>472</v>
      </c>
      <c r="J868" s="61"/>
      <c r="K868" s="61"/>
      <c r="L868" s="42"/>
      <c r="M868" s="42"/>
      <c r="N868" s="42"/>
      <c r="O868" s="42"/>
      <c r="P868" s="42"/>
      <c r="Q868" s="42"/>
      <c r="R868" s="42"/>
      <c r="S868" s="42"/>
      <c r="T868" s="42"/>
      <c r="U868" s="42"/>
      <c r="V868" s="42"/>
      <c r="W868" s="42"/>
      <c r="X868" s="42"/>
      <c r="Y868" s="42"/>
      <c r="Z868" s="42"/>
    </row>
    <row r="869" ht="30.75" customHeight="1">
      <c r="A869" s="52" t="s">
        <v>247</v>
      </c>
      <c r="B869" s="52" t="s">
        <v>174</v>
      </c>
      <c r="C869" s="52" t="s">
        <v>175</v>
      </c>
      <c r="D869" s="52" t="s">
        <v>176</v>
      </c>
      <c r="E869" s="52"/>
      <c r="F869" s="62"/>
      <c r="G869" s="52"/>
      <c r="H869" s="63"/>
      <c r="I869" s="63"/>
      <c r="J869" s="54"/>
      <c r="K869" s="54"/>
      <c r="L869" s="56"/>
      <c r="M869" s="56"/>
      <c r="N869" s="56"/>
      <c r="O869" s="56"/>
      <c r="P869" s="56"/>
      <c r="Q869" s="56"/>
      <c r="R869" s="56"/>
      <c r="S869" s="56"/>
      <c r="T869" s="56"/>
      <c r="U869" s="56"/>
      <c r="V869" s="56"/>
      <c r="W869" s="56"/>
      <c r="X869" s="56"/>
      <c r="Y869" s="56"/>
      <c r="Z869" s="56"/>
    </row>
    <row r="870" ht="57.0" customHeight="1">
      <c r="A870" s="57" t="s">
        <v>247</v>
      </c>
      <c r="B870" s="57" t="s">
        <v>174</v>
      </c>
      <c r="C870" s="57" t="s">
        <v>2749</v>
      </c>
      <c r="D870" s="57" t="s">
        <v>2750</v>
      </c>
      <c r="E870" s="57" t="s">
        <v>2751</v>
      </c>
      <c r="F870" s="58">
        <v>500000.0</v>
      </c>
      <c r="G870" s="57" t="s">
        <v>251</v>
      </c>
      <c r="H870" s="59" t="s">
        <v>252</v>
      </c>
      <c r="I870" s="59" t="s">
        <v>472</v>
      </c>
      <c r="J870" s="61"/>
      <c r="K870" s="61"/>
      <c r="L870" s="42"/>
      <c r="M870" s="42"/>
      <c r="N870" s="42"/>
      <c r="O870" s="42"/>
      <c r="P870" s="42"/>
      <c r="Q870" s="42"/>
      <c r="R870" s="42"/>
      <c r="S870" s="42"/>
      <c r="T870" s="42"/>
      <c r="U870" s="42"/>
      <c r="V870" s="42"/>
      <c r="W870" s="42"/>
      <c r="X870" s="42"/>
      <c r="Y870" s="42"/>
      <c r="Z870" s="42"/>
    </row>
    <row r="871" ht="57.0" customHeight="1">
      <c r="A871" s="57" t="s">
        <v>247</v>
      </c>
      <c r="B871" s="57" t="s">
        <v>174</v>
      </c>
      <c r="C871" s="57" t="s">
        <v>2752</v>
      </c>
      <c r="D871" s="57" t="s">
        <v>2753</v>
      </c>
      <c r="E871" s="57" t="s">
        <v>2754</v>
      </c>
      <c r="F871" s="58">
        <v>1400000.0</v>
      </c>
      <c r="G871" s="57" t="s">
        <v>664</v>
      </c>
      <c r="H871" s="59" t="s">
        <v>252</v>
      </c>
      <c r="I871" s="59" t="s">
        <v>472</v>
      </c>
      <c r="J871" s="61"/>
      <c r="K871" s="61"/>
      <c r="L871" s="42"/>
      <c r="M871" s="42"/>
      <c r="N871" s="42"/>
      <c r="O871" s="42"/>
      <c r="P871" s="42"/>
      <c r="Q871" s="42"/>
      <c r="R871" s="42"/>
      <c r="S871" s="42"/>
      <c r="T871" s="42"/>
      <c r="U871" s="42"/>
      <c r="V871" s="42"/>
      <c r="W871" s="42"/>
      <c r="X871" s="42"/>
      <c r="Y871" s="42"/>
      <c r="Z871" s="42"/>
    </row>
    <row r="872" ht="57.0" customHeight="1">
      <c r="A872" s="57" t="s">
        <v>247</v>
      </c>
      <c r="B872" s="57" t="s">
        <v>174</v>
      </c>
      <c r="C872" s="57" t="s">
        <v>2755</v>
      </c>
      <c r="D872" s="57" t="s">
        <v>2756</v>
      </c>
      <c r="E872" s="57" t="s">
        <v>2757</v>
      </c>
      <c r="F872" s="58">
        <v>1400000.0</v>
      </c>
      <c r="G872" s="57" t="s">
        <v>467</v>
      </c>
      <c r="H872" s="59" t="s">
        <v>252</v>
      </c>
      <c r="I872" s="59" t="s">
        <v>472</v>
      </c>
      <c r="J872" s="61"/>
      <c r="K872" s="61"/>
      <c r="L872" s="42"/>
      <c r="M872" s="42"/>
      <c r="N872" s="42"/>
      <c r="O872" s="42"/>
      <c r="P872" s="42"/>
      <c r="Q872" s="42"/>
      <c r="R872" s="42"/>
      <c r="S872" s="42"/>
      <c r="T872" s="42"/>
      <c r="U872" s="42"/>
      <c r="V872" s="42"/>
      <c r="W872" s="42"/>
      <c r="X872" s="42"/>
      <c r="Y872" s="42"/>
      <c r="Z872" s="42"/>
    </row>
    <row r="873" ht="57.0" customHeight="1">
      <c r="A873" s="57" t="s">
        <v>247</v>
      </c>
      <c r="B873" s="57" t="s">
        <v>174</v>
      </c>
      <c r="C873" s="57" t="s">
        <v>2758</v>
      </c>
      <c r="D873" s="57" t="s">
        <v>2759</v>
      </c>
      <c r="E873" s="57" t="s">
        <v>2760</v>
      </c>
      <c r="F873" s="58">
        <v>200000.0</v>
      </c>
      <c r="G873" s="57" t="s">
        <v>467</v>
      </c>
      <c r="H873" s="59" t="s">
        <v>252</v>
      </c>
      <c r="I873" s="59" t="s">
        <v>472</v>
      </c>
      <c r="J873" s="61"/>
      <c r="K873" s="61"/>
      <c r="L873" s="42"/>
      <c r="M873" s="42"/>
      <c r="N873" s="42"/>
      <c r="O873" s="42"/>
      <c r="P873" s="42"/>
      <c r="Q873" s="42"/>
      <c r="R873" s="42"/>
      <c r="S873" s="42"/>
      <c r="T873" s="42"/>
      <c r="U873" s="42"/>
      <c r="V873" s="42"/>
      <c r="W873" s="42"/>
      <c r="X873" s="42"/>
      <c r="Y873" s="42"/>
      <c r="Z873" s="42"/>
    </row>
    <row r="874" ht="57.0" customHeight="1">
      <c r="A874" s="57" t="s">
        <v>247</v>
      </c>
      <c r="B874" s="57" t="s">
        <v>174</v>
      </c>
      <c r="C874" s="57" t="s">
        <v>2761</v>
      </c>
      <c r="D874" s="57" t="s">
        <v>2762</v>
      </c>
      <c r="E874" s="57" t="s">
        <v>2763</v>
      </c>
      <c r="F874" s="58">
        <v>220000.0</v>
      </c>
      <c r="G874" s="57" t="s">
        <v>467</v>
      </c>
      <c r="H874" s="59" t="s">
        <v>252</v>
      </c>
      <c r="I874" s="59" t="s">
        <v>472</v>
      </c>
      <c r="J874" s="61"/>
      <c r="K874" s="61"/>
      <c r="L874" s="42"/>
      <c r="M874" s="42"/>
      <c r="N874" s="42"/>
      <c r="O874" s="42"/>
      <c r="P874" s="42"/>
      <c r="Q874" s="42"/>
      <c r="R874" s="42"/>
      <c r="S874" s="42"/>
      <c r="T874" s="42"/>
      <c r="U874" s="42"/>
      <c r="V874" s="42"/>
      <c r="W874" s="42"/>
      <c r="X874" s="42"/>
      <c r="Y874" s="42"/>
      <c r="Z874" s="42"/>
    </row>
    <row r="875" ht="57.0" customHeight="1">
      <c r="A875" s="57" t="s">
        <v>247</v>
      </c>
      <c r="B875" s="57" t="s">
        <v>174</v>
      </c>
      <c r="C875" s="57" t="s">
        <v>2764</v>
      </c>
      <c r="D875" s="57" t="s">
        <v>2765</v>
      </c>
      <c r="E875" s="57" t="s">
        <v>2766</v>
      </c>
      <c r="F875" s="58">
        <v>1350000.0</v>
      </c>
      <c r="G875" s="57" t="s">
        <v>467</v>
      </c>
      <c r="H875" s="59" t="s">
        <v>252</v>
      </c>
      <c r="I875" s="59" t="s">
        <v>472</v>
      </c>
      <c r="J875" s="61"/>
      <c r="K875" s="61"/>
      <c r="L875" s="42"/>
      <c r="M875" s="42"/>
      <c r="N875" s="42"/>
      <c r="O875" s="42"/>
      <c r="P875" s="42"/>
      <c r="Q875" s="42"/>
      <c r="R875" s="42"/>
      <c r="S875" s="42"/>
      <c r="T875" s="42"/>
      <c r="U875" s="42"/>
      <c r="V875" s="42"/>
      <c r="W875" s="42"/>
      <c r="X875" s="42"/>
      <c r="Y875" s="42"/>
      <c r="Z875" s="42"/>
    </row>
    <row r="876" ht="57.0" customHeight="1">
      <c r="A876" s="57" t="s">
        <v>247</v>
      </c>
      <c r="B876" s="57" t="s">
        <v>174</v>
      </c>
      <c r="C876" s="57" t="s">
        <v>2767</v>
      </c>
      <c r="D876" s="57" t="s">
        <v>2768</v>
      </c>
      <c r="E876" s="57" t="s">
        <v>2769</v>
      </c>
      <c r="F876" s="58">
        <v>2350000.0</v>
      </c>
      <c r="G876" s="57" t="s">
        <v>467</v>
      </c>
      <c r="H876" s="59" t="s">
        <v>252</v>
      </c>
      <c r="I876" s="59" t="s">
        <v>472</v>
      </c>
      <c r="J876" s="61"/>
      <c r="K876" s="61"/>
      <c r="L876" s="42"/>
      <c r="M876" s="42"/>
      <c r="N876" s="42"/>
      <c r="O876" s="42"/>
      <c r="P876" s="42"/>
      <c r="Q876" s="42"/>
      <c r="R876" s="42"/>
      <c r="S876" s="42"/>
      <c r="T876" s="42"/>
      <c r="U876" s="42"/>
      <c r="V876" s="42"/>
      <c r="W876" s="42"/>
      <c r="X876" s="42"/>
      <c r="Y876" s="42"/>
      <c r="Z876" s="42"/>
    </row>
    <row r="877" ht="57.0" customHeight="1">
      <c r="A877" s="57" t="s">
        <v>247</v>
      </c>
      <c r="B877" s="57" t="s">
        <v>174</v>
      </c>
      <c r="C877" s="57" t="s">
        <v>2770</v>
      </c>
      <c r="D877" s="57" t="s">
        <v>2771</v>
      </c>
      <c r="E877" s="57" t="s">
        <v>2772</v>
      </c>
      <c r="F877" s="58">
        <v>1470000.0</v>
      </c>
      <c r="G877" s="57" t="s">
        <v>664</v>
      </c>
      <c r="H877" s="59" t="s">
        <v>252</v>
      </c>
      <c r="I877" s="59" t="s">
        <v>472</v>
      </c>
      <c r="J877" s="61"/>
      <c r="K877" s="61"/>
      <c r="L877" s="42"/>
      <c r="M877" s="42"/>
      <c r="N877" s="42"/>
      <c r="O877" s="42"/>
      <c r="P877" s="42"/>
      <c r="Q877" s="42"/>
      <c r="R877" s="42"/>
      <c r="S877" s="42"/>
      <c r="T877" s="42"/>
      <c r="U877" s="42"/>
      <c r="V877" s="42"/>
      <c r="W877" s="42"/>
      <c r="X877" s="42"/>
      <c r="Y877" s="42"/>
      <c r="Z877" s="42"/>
    </row>
    <row r="878" ht="57.0" customHeight="1">
      <c r="A878" s="57" t="s">
        <v>247</v>
      </c>
      <c r="B878" s="57" t="s">
        <v>174</v>
      </c>
      <c r="C878" s="57" t="s">
        <v>2773</v>
      </c>
      <c r="D878" s="57" t="s">
        <v>2774</v>
      </c>
      <c r="E878" s="57" t="s">
        <v>2775</v>
      </c>
      <c r="F878" s="58">
        <v>1300000.0</v>
      </c>
      <c r="G878" s="57" t="s">
        <v>664</v>
      </c>
      <c r="H878" s="59" t="s">
        <v>252</v>
      </c>
      <c r="I878" s="59" t="s">
        <v>472</v>
      </c>
      <c r="J878" s="61"/>
      <c r="K878" s="61"/>
      <c r="L878" s="42"/>
      <c r="M878" s="42"/>
      <c r="N878" s="42"/>
      <c r="O878" s="42"/>
      <c r="P878" s="42"/>
      <c r="Q878" s="42"/>
      <c r="R878" s="42"/>
      <c r="S878" s="42"/>
      <c r="T878" s="42"/>
      <c r="U878" s="42"/>
      <c r="V878" s="42"/>
      <c r="W878" s="42"/>
      <c r="X878" s="42"/>
      <c r="Y878" s="42"/>
      <c r="Z878" s="42"/>
    </row>
    <row r="879" ht="57.0" customHeight="1">
      <c r="A879" s="57" t="s">
        <v>247</v>
      </c>
      <c r="B879" s="57" t="s">
        <v>174</v>
      </c>
      <c r="C879" s="57" t="s">
        <v>2776</v>
      </c>
      <c r="D879" s="57" t="s">
        <v>2777</v>
      </c>
      <c r="E879" s="57" t="s">
        <v>2778</v>
      </c>
      <c r="F879" s="58">
        <v>380000.0</v>
      </c>
      <c r="G879" s="57" t="s">
        <v>664</v>
      </c>
      <c r="H879" s="59" t="s">
        <v>252</v>
      </c>
      <c r="I879" s="59" t="s">
        <v>472</v>
      </c>
      <c r="J879" s="61"/>
      <c r="K879" s="61"/>
      <c r="L879" s="42"/>
      <c r="M879" s="42"/>
      <c r="N879" s="42"/>
      <c r="O879" s="42"/>
      <c r="P879" s="42"/>
      <c r="Q879" s="42"/>
      <c r="R879" s="42"/>
      <c r="S879" s="42"/>
      <c r="T879" s="42"/>
      <c r="U879" s="42"/>
      <c r="V879" s="42"/>
      <c r="W879" s="42"/>
      <c r="X879" s="42"/>
      <c r="Y879" s="42"/>
      <c r="Z879" s="42"/>
    </row>
    <row r="880" ht="57.0" customHeight="1">
      <c r="A880" s="57" t="s">
        <v>247</v>
      </c>
      <c r="B880" s="57" t="s">
        <v>174</v>
      </c>
      <c r="C880" s="57" t="s">
        <v>2779</v>
      </c>
      <c r="D880" s="57" t="s">
        <v>2780</v>
      </c>
      <c r="E880" s="57" t="s">
        <v>2781</v>
      </c>
      <c r="F880" s="58">
        <v>280000.0</v>
      </c>
      <c r="G880" s="57" t="s">
        <v>251</v>
      </c>
      <c r="H880" s="59" t="s">
        <v>252</v>
      </c>
      <c r="I880" s="59" t="s">
        <v>472</v>
      </c>
      <c r="J880" s="61"/>
      <c r="K880" s="61"/>
      <c r="L880" s="42"/>
      <c r="M880" s="42"/>
      <c r="N880" s="42"/>
      <c r="O880" s="42"/>
      <c r="P880" s="42"/>
      <c r="Q880" s="42"/>
      <c r="R880" s="42"/>
      <c r="S880" s="42"/>
      <c r="T880" s="42"/>
      <c r="U880" s="42"/>
      <c r="V880" s="42"/>
      <c r="W880" s="42"/>
      <c r="X880" s="42"/>
      <c r="Y880" s="42"/>
      <c r="Z880" s="42"/>
    </row>
    <row r="881" ht="57.0" customHeight="1">
      <c r="A881" s="57" t="s">
        <v>247</v>
      </c>
      <c r="B881" s="57" t="s">
        <v>174</v>
      </c>
      <c r="C881" s="57" t="s">
        <v>2782</v>
      </c>
      <c r="D881" s="57" t="s">
        <v>2783</v>
      </c>
      <c r="E881" s="57" t="s">
        <v>2784</v>
      </c>
      <c r="F881" s="58">
        <v>350000.0</v>
      </c>
      <c r="G881" s="57" t="s">
        <v>251</v>
      </c>
      <c r="H881" s="59" t="s">
        <v>252</v>
      </c>
      <c r="I881" s="59" t="s">
        <v>472</v>
      </c>
      <c r="J881" s="61"/>
      <c r="K881" s="61"/>
      <c r="L881" s="42"/>
      <c r="M881" s="42"/>
      <c r="N881" s="42"/>
      <c r="O881" s="42"/>
      <c r="P881" s="42"/>
      <c r="Q881" s="42"/>
      <c r="R881" s="42"/>
      <c r="S881" s="42"/>
      <c r="T881" s="42"/>
      <c r="U881" s="42"/>
      <c r="V881" s="42"/>
      <c r="W881" s="42"/>
      <c r="X881" s="42"/>
      <c r="Y881" s="42"/>
      <c r="Z881" s="42"/>
    </row>
    <row r="882" ht="57.0" customHeight="1">
      <c r="A882" s="57" t="s">
        <v>247</v>
      </c>
      <c r="B882" s="57" t="s">
        <v>174</v>
      </c>
      <c r="C882" s="57" t="s">
        <v>2785</v>
      </c>
      <c r="D882" s="57" t="s">
        <v>2786</v>
      </c>
      <c r="E882" s="57" t="s">
        <v>2787</v>
      </c>
      <c r="F882" s="58">
        <v>100000.0</v>
      </c>
      <c r="G882" s="57" t="s">
        <v>467</v>
      </c>
      <c r="H882" s="59" t="s">
        <v>252</v>
      </c>
      <c r="I882" s="59" t="s">
        <v>472</v>
      </c>
      <c r="J882" s="61"/>
      <c r="K882" s="61"/>
      <c r="L882" s="42"/>
      <c r="M882" s="42"/>
      <c r="N882" s="42"/>
      <c r="O882" s="42"/>
      <c r="P882" s="42"/>
      <c r="Q882" s="42"/>
      <c r="R882" s="42"/>
      <c r="S882" s="42"/>
      <c r="T882" s="42"/>
      <c r="U882" s="42"/>
      <c r="V882" s="42"/>
      <c r="W882" s="42"/>
      <c r="X882" s="42"/>
      <c r="Y882" s="42"/>
      <c r="Z882" s="42"/>
    </row>
    <row r="883" ht="57.0" customHeight="1">
      <c r="A883" s="57" t="s">
        <v>247</v>
      </c>
      <c r="B883" s="57" t="s">
        <v>174</v>
      </c>
      <c r="C883" s="57" t="s">
        <v>2788</v>
      </c>
      <c r="D883" s="57" t="s">
        <v>2789</v>
      </c>
      <c r="E883" s="57" t="s">
        <v>2790</v>
      </c>
      <c r="F883" s="58">
        <v>100000.0</v>
      </c>
      <c r="G883" s="57" t="s">
        <v>467</v>
      </c>
      <c r="H883" s="59" t="s">
        <v>252</v>
      </c>
      <c r="I883" s="59" t="s">
        <v>472</v>
      </c>
      <c r="J883" s="61"/>
      <c r="K883" s="61"/>
      <c r="L883" s="42"/>
      <c r="M883" s="42"/>
      <c r="N883" s="42"/>
      <c r="O883" s="42"/>
      <c r="P883" s="42"/>
      <c r="Q883" s="42"/>
      <c r="R883" s="42"/>
      <c r="S883" s="42"/>
      <c r="T883" s="42"/>
      <c r="U883" s="42"/>
      <c r="V883" s="42"/>
      <c r="W883" s="42"/>
      <c r="X883" s="42"/>
      <c r="Y883" s="42"/>
      <c r="Z883" s="42"/>
    </row>
    <row r="884" ht="57.0" customHeight="1">
      <c r="A884" s="57" t="s">
        <v>247</v>
      </c>
      <c r="B884" s="57" t="s">
        <v>174</v>
      </c>
      <c r="C884" s="57" t="s">
        <v>2791</v>
      </c>
      <c r="D884" s="57" t="s">
        <v>2792</v>
      </c>
      <c r="E884" s="57" t="s">
        <v>2793</v>
      </c>
      <c r="F884" s="58">
        <v>400000.0</v>
      </c>
      <c r="G884" s="57" t="s">
        <v>2794</v>
      </c>
      <c r="H884" s="59" t="s">
        <v>252</v>
      </c>
      <c r="I884" s="59" t="s">
        <v>472</v>
      </c>
      <c r="J884" s="61"/>
      <c r="K884" s="61"/>
      <c r="L884" s="42"/>
      <c r="M884" s="42"/>
      <c r="N884" s="42"/>
      <c r="O884" s="42"/>
      <c r="P884" s="42"/>
      <c r="Q884" s="42"/>
      <c r="R884" s="42"/>
      <c r="S884" s="42"/>
      <c r="T884" s="42"/>
      <c r="U884" s="42"/>
      <c r="V884" s="42"/>
      <c r="W884" s="42"/>
      <c r="X884" s="42"/>
      <c r="Y884" s="42"/>
      <c r="Z884" s="42"/>
    </row>
    <row r="885" ht="57.0" customHeight="1">
      <c r="A885" s="57" t="s">
        <v>247</v>
      </c>
      <c r="B885" s="57" t="s">
        <v>174</v>
      </c>
      <c r="C885" s="57" t="s">
        <v>2795</v>
      </c>
      <c r="D885" s="57" t="s">
        <v>2796</v>
      </c>
      <c r="E885" s="57" t="s">
        <v>2797</v>
      </c>
      <c r="F885" s="58">
        <v>90000.0</v>
      </c>
      <c r="G885" s="57" t="s">
        <v>2794</v>
      </c>
      <c r="H885" s="59" t="s">
        <v>252</v>
      </c>
      <c r="I885" s="59" t="s">
        <v>472</v>
      </c>
      <c r="J885" s="61"/>
      <c r="K885" s="61"/>
      <c r="L885" s="42"/>
      <c r="M885" s="42"/>
      <c r="N885" s="42"/>
      <c r="O885" s="42"/>
      <c r="P885" s="42"/>
      <c r="Q885" s="42"/>
      <c r="R885" s="42"/>
      <c r="S885" s="42"/>
      <c r="T885" s="42"/>
      <c r="U885" s="42"/>
      <c r="V885" s="42"/>
      <c r="W885" s="42"/>
      <c r="X885" s="42"/>
      <c r="Y885" s="42"/>
      <c r="Z885" s="42"/>
    </row>
    <row r="886" ht="57.0" customHeight="1">
      <c r="A886" s="57" t="s">
        <v>247</v>
      </c>
      <c r="B886" s="57" t="s">
        <v>174</v>
      </c>
      <c r="C886" s="57" t="s">
        <v>2798</v>
      </c>
      <c r="D886" s="57" t="s">
        <v>2799</v>
      </c>
      <c r="E886" s="57" t="s">
        <v>2800</v>
      </c>
      <c r="F886" s="58">
        <v>200000.0</v>
      </c>
      <c r="G886" s="57" t="s">
        <v>664</v>
      </c>
      <c r="H886" s="59" t="s">
        <v>252</v>
      </c>
      <c r="I886" s="59" t="s">
        <v>472</v>
      </c>
      <c r="J886" s="61"/>
      <c r="K886" s="61"/>
      <c r="L886" s="42"/>
      <c r="M886" s="42"/>
      <c r="N886" s="42"/>
      <c r="O886" s="42"/>
      <c r="P886" s="42"/>
      <c r="Q886" s="42"/>
      <c r="R886" s="42"/>
      <c r="S886" s="42"/>
      <c r="T886" s="42"/>
      <c r="U886" s="42"/>
      <c r="V886" s="42"/>
      <c r="W886" s="42"/>
      <c r="X886" s="42"/>
      <c r="Y886" s="42"/>
      <c r="Z886" s="42"/>
    </row>
    <row r="887" ht="57.0" customHeight="1">
      <c r="A887" s="57" t="s">
        <v>247</v>
      </c>
      <c r="B887" s="57" t="s">
        <v>174</v>
      </c>
      <c r="C887" s="57" t="s">
        <v>2801</v>
      </c>
      <c r="D887" s="57" t="s">
        <v>2802</v>
      </c>
      <c r="E887" s="57" t="s">
        <v>2803</v>
      </c>
      <c r="F887" s="58">
        <v>200000.0</v>
      </c>
      <c r="G887" s="57" t="s">
        <v>251</v>
      </c>
      <c r="H887" s="59" t="s">
        <v>252</v>
      </c>
      <c r="I887" s="59" t="s">
        <v>472</v>
      </c>
      <c r="J887" s="61"/>
      <c r="K887" s="61"/>
      <c r="L887" s="42"/>
      <c r="M887" s="42"/>
      <c r="N887" s="42"/>
      <c r="O887" s="42"/>
      <c r="P887" s="42"/>
      <c r="Q887" s="42"/>
      <c r="R887" s="42"/>
      <c r="S887" s="42"/>
      <c r="T887" s="42"/>
      <c r="U887" s="42"/>
      <c r="V887" s="42"/>
      <c r="W887" s="42"/>
      <c r="X887" s="42"/>
      <c r="Y887" s="42"/>
      <c r="Z887" s="42"/>
    </row>
    <row r="888" ht="57.0" customHeight="1">
      <c r="A888" s="57" t="s">
        <v>247</v>
      </c>
      <c r="B888" s="57" t="s">
        <v>174</v>
      </c>
      <c r="C888" s="57" t="s">
        <v>2804</v>
      </c>
      <c r="D888" s="57" t="s">
        <v>2805</v>
      </c>
      <c r="E888" s="57" t="s">
        <v>2806</v>
      </c>
      <c r="F888" s="58">
        <v>500000.0</v>
      </c>
      <c r="G888" s="57" t="s">
        <v>251</v>
      </c>
      <c r="H888" s="59" t="s">
        <v>252</v>
      </c>
      <c r="I888" s="59" t="s">
        <v>472</v>
      </c>
      <c r="J888" s="61"/>
      <c r="K888" s="61"/>
      <c r="L888" s="42"/>
      <c r="M888" s="42"/>
      <c r="N888" s="42"/>
      <c r="O888" s="42"/>
      <c r="P888" s="42"/>
      <c r="Q888" s="42"/>
      <c r="R888" s="42"/>
      <c r="S888" s="42"/>
      <c r="T888" s="42"/>
      <c r="U888" s="42"/>
      <c r="V888" s="42"/>
      <c r="W888" s="42"/>
      <c r="X888" s="42"/>
      <c r="Y888" s="42"/>
      <c r="Z888" s="42"/>
    </row>
    <row r="889" ht="57.0" customHeight="1">
      <c r="A889" s="57" t="s">
        <v>247</v>
      </c>
      <c r="B889" s="57" t="s">
        <v>174</v>
      </c>
      <c r="C889" s="57" t="s">
        <v>2807</v>
      </c>
      <c r="D889" s="57" t="s">
        <v>2808</v>
      </c>
      <c r="E889" s="57" t="s">
        <v>2809</v>
      </c>
      <c r="F889" s="58">
        <v>300000.0</v>
      </c>
      <c r="G889" s="57" t="s">
        <v>664</v>
      </c>
      <c r="H889" s="59" t="s">
        <v>252</v>
      </c>
      <c r="I889" s="59" t="s">
        <v>472</v>
      </c>
      <c r="J889" s="61"/>
      <c r="K889" s="61"/>
      <c r="L889" s="42"/>
      <c r="M889" s="42"/>
      <c r="N889" s="42"/>
      <c r="O889" s="42"/>
      <c r="P889" s="42"/>
      <c r="Q889" s="42"/>
      <c r="R889" s="42"/>
      <c r="S889" s="42"/>
      <c r="T889" s="42"/>
      <c r="U889" s="42"/>
      <c r="V889" s="42"/>
      <c r="W889" s="42"/>
      <c r="X889" s="42"/>
      <c r="Y889" s="42"/>
      <c r="Z889" s="42"/>
    </row>
    <row r="890" ht="30.75" customHeight="1">
      <c r="A890" s="52" t="s">
        <v>2810</v>
      </c>
      <c r="B890" s="52" t="s">
        <v>181</v>
      </c>
      <c r="C890" s="52" t="s">
        <v>182</v>
      </c>
      <c r="D890" s="52" t="s">
        <v>183</v>
      </c>
      <c r="E890" s="52"/>
      <c r="F890" s="62"/>
      <c r="G890" s="52"/>
      <c r="H890" s="63"/>
      <c r="I890" s="63"/>
      <c r="J890" s="54"/>
      <c r="K890" s="54"/>
      <c r="L890" s="56"/>
      <c r="M890" s="56"/>
      <c r="N890" s="56"/>
      <c r="O890" s="56"/>
      <c r="P890" s="56"/>
      <c r="Q890" s="56"/>
      <c r="R890" s="56"/>
      <c r="S890" s="56"/>
      <c r="T890" s="56"/>
      <c r="U890" s="56"/>
      <c r="V890" s="56"/>
      <c r="W890" s="56"/>
      <c r="X890" s="56"/>
      <c r="Y890" s="56"/>
      <c r="Z890" s="56"/>
    </row>
    <row r="891" ht="30.75" customHeight="1">
      <c r="A891" s="57" t="s">
        <v>2810</v>
      </c>
      <c r="B891" s="57" t="s">
        <v>181</v>
      </c>
      <c r="C891" s="57" t="s">
        <v>2811</v>
      </c>
      <c r="D891" s="57" t="s">
        <v>2812</v>
      </c>
      <c r="E891" s="57" t="s">
        <v>2813</v>
      </c>
      <c r="F891" s="58">
        <v>410000.0</v>
      </c>
      <c r="G891" s="57" t="s">
        <v>2814</v>
      </c>
      <c r="H891" s="59" t="s">
        <v>252</v>
      </c>
      <c r="I891" s="60" t="s">
        <v>253</v>
      </c>
      <c r="J891" s="61"/>
      <c r="K891" s="61"/>
      <c r="L891" s="42"/>
      <c r="M891" s="42"/>
      <c r="N891" s="42"/>
      <c r="O891" s="42"/>
      <c r="P891" s="42"/>
      <c r="Q891" s="42"/>
      <c r="R891" s="42"/>
      <c r="S891" s="42"/>
      <c r="T891" s="42"/>
      <c r="U891" s="42"/>
      <c r="V891" s="42"/>
      <c r="W891" s="42"/>
      <c r="X891" s="42"/>
      <c r="Y891" s="42"/>
      <c r="Z891" s="42"/>
    </row>
    <row r="892" ht="30.75" customHeight="1">
      <c r="A892" s="57" t="s">
        <v>2810</v>
      </c>
      <c r="B892" s="57" t="s">
        <v>181</v>
      </c>
      <c r="C892" s="57" t="s">
        <v>2815</v>
      </c>
      <c r="D892" s="57" t="s">
        <v>2816</v>
      </c>
      <c r="E892" s="57" t="s">
        <v>2817</v>
      </c>
      <c r="F892" s="58">
        <v>480000.0</v>
      </c>
      <c r="G892" s="57" t="s">
        <v>2814</v>
      </c>
      <c r="H892" s="59" t="s">
        <v>252</v>
      </c>
      <c r="I892" s="60" t="s">
        <v>253</v>
      </c>
      <c r="J892" s="61"/>
      <c r="K892" s="61"/>
      <c r="L892" s="42"/>
      <c r="M892" s="42"/>
      <c r="N892" s="42"/>
      <c r="O892" s="42"/>
      <c r="P892" s="42"/>
      <c r="Q892" s="42"/>
      <c r="R892" s="42"/>
      <c r="S892" s="42"/>
      <c r="T892" s="42"/>
      <c r="U892" s="42"/>
      <c r="V892" s="42"/>
      <c r="W892" s="42"/>
      <c r="X892" s="42"/>
      <c r="Y892" s="42"/>
      <c r="Z892" s="42"/>
    </row>
    <row r="893" ht="30.75" customHeight="1">
      <c r="A893" s="57" t="s">
        <v>2810</v>
      </c>
      <c r="B893" s="57" t="s">
        <v>181</v>
      </c>
      <c r="C893" s="57" t="s">
        <v>2818</v>
      </c>
      <c r="D893" s="57" t="s">
        <v>2819</v>
      </c>
      <c r="E893" s="57" t="s">
        <v>2820</v>
      </c>
      <c r="F893" s="58">
        <v>657000.0</v>
      </c>
      <c r="G893" s="57" t="s">
        <v>2814</v>
      </c>
      <c r="H893" s="59" t="s">
        <v>252</v>
      </c>
      <c r="I893" s="60" t="s">
        <v>253</v>
      </c>
      <c r="J893" s="61"/>
      <c r="K893" s="61"/>
      <c r="L893" s="42"/>
      <c r="M893" s="42"/>
      <c r="N893" s="42"/>
      <c r="O893" s="42"/>
      <c r="P893" s="42"/>
      <c r="Q893" s="42"/>
      <c r="R893" s="42"/>
      <c r="S893" s="42"/>
      <c r="T893" s="42"/>
      <c r="U893" s="42"/>
      <c r="V893" s="42"/>
      <c r="W893" s="42"/>
      <c r="X893" s="42"/>
      <c r="Y893" s="42"/>
      <c r="Z893" s="42"/>
    </row>
    <row r="894" ht="30.75" customHeight="1">
      <c r="A894" s="57" t="s">
        <v>2810</v>
      </c>
      <c r="B894" s="57" t="s">
        <v>181</v>
      </c>
      <c r="C894" s="57" t="s">
        <v>2821</v>
      </c>
      <c r="D894" s="57" t="s">
        <v>2822</v>
      </c>
      <c r="E894" s="57"/>
      <c r="F894" s="58">
        <v>12000.0</v>
      </c>
      <c r="G894" s="57" t="s">
        <v>251</v>
      </c>
      <c r="H894" s="59" t="s">
        <v>952</v>
      </c>
      <c r="I894" s="59" t="s">
        <v>953</v>
      </c>
      <c r="J894" s="61"/>
      <c r="K894" s="61"/>
      <c r="L894" s="42"/>
      <c r="M894" s="42"/>
      <c r="N894" s="42"/>
      <c r="O894" s="42"/>
      <c r="P894" s="42"/>
      <c r="Q894" s="42"/>
      <c r="R894" s="42"/>
      <c r="S894" s="42"/>
      <c r="T894" s="42"/>
      <c r="U894" s="42"/>
      <c r="V894" s="42"/>
      <c r="W894" s="42"/>
      <c r="X894" s="42"/>
      <c r="Y894" s="42"/>
      <c r="Z894" s="42"/>
    </row>
    <row r="895" ht="30.75" customHeight="1">
      <c r="A895" s="57" t="s">
        <v>2810</v>
      </c>
      <c r="B895" s="57" t="s">
        <v>181</v>
      </c>
      <c r="C895" s="57" t="s">
        <v>2823</v>
      </c>
      <c r="D895" s="57" t="s">
        <v>2824</v>
      </c>
      <c r="E895" s="57"/>
      <c r="F895" s="58">
        <v>32200.0</v>
      </c>
      <c r="G895" s="57" t="s">
        <v>251</v>
      </c>
      <c r="H895" s="59" t="s">
        <v>952</v>
      </c>
      <c r="I895" s="59" t="s">
        <v>953</v>
      </c>
      <c r="J895" s="61"/>
      <c r="K895" s="61"/>
      <c r="L895" s="42"/>
      <c r="M895" s="42"/>
      <c r="N895" s="42"/>
      <c r="O895" s="42"/>
      <c r="P895" s="42"/>
      <c r="Q895" s="42"/>
      <c r="R895" s="42"/>
      <c r="S895" s="42"/>
      <c r="T895" s="42"/>
      <c r="U895" s="42"/>
      <c r="V895" s="42"/>
      <c r="W895" s="42"/>
      <c r="X895" s="42"/>
      <c r="Y895" s="42"/>
      <c r="Z895" s="42"/>
    </row>
    <row r="896" ht="30.75" customHeight="1">
      <c r="A896" s="57" t="s">
        <v>2810</v>
      </c>
      <c r="B896" s="57" t="s">
        <v>181</v>
      </c>
      <c r="C896" s="57" t="s">
        <v>2825</v>
      </c>
      <c r="D896" s="57" t="s">
        <v>2826</v>
      </c>
      <c r="E896" s="57"/>
      <c r="F896" s="58">
        <v>33500.0</v>
      </c>
      <c r="G896" s="57" t="s">
        <v>251</v>
      </c>
      <c r="H896" s="59" t="s">
        <v>952</v>
      </c>
      <c r="I896" s="59" t="s">
        <v>953</v>
      </c>
      <c r="J896" s="61"/>
      <c r="K896" s="61"/>
      <c r="L896" s="42"/>
      <c r="M896" s="42"/>
      <c r="N896" s="42"/>
      <c r="O896" s="42"/>
      <c r="P896" s="42"/>
      <c r="Q896" s="42"/>
      <c r="R896" s="42"/>
      <c r="S896" s="42"/>
      <c r="T896" s="42"/>
      <c r="U896" s="42"/>
      <c r="V896" s="42"/>
      <c r="W896" s="42"/>
      <c r="X896" s="42"/>
      <c r="Y896" s="42"/>
      <c r="Z896" s="42"/>
    </row>
    <row r="897" ht="30.75" customHeight="1">
      <c r="A897" s="57" t="s">
        <v>2810</v>
      </c>
      <c r="B897" s="57" t="s">
        <v>181</v>
      </c>
      <c r="C897" s="57" t="s">
        <v>2827</v>
      </c>
      <c r="D897" s="57" t="s">
        <v>2828</v>
      </c>
      <c r="E897" s="57"/>
      <c r="F897" s="58">
        <v>25400.0</v>
      </c>
      <c r="G897" s="57" t="s">
        <v>251</v>
      </c>
      <c r="H897" s="59" t="s">
        <v>952</v>
      </c>
      <c r="I897" s="59" t="s">
        <v>953</v>
      </c>
      <c r="J897" s="61"/>
      <c r="K897" s="61"/>
      <c r="L897" s="42"/>
      <c r="M897" s="42"/>
      <c r="N897" s="42"/>
      <c r="O897" s="42"/>
      <c r="P897" s="42"/>
      <c r="Q897" s="42"/>
      <c r="R897" s="42"/>
      <c r="S897" s="42"/>
      <c r="T897" s="42"/>
      <c r="U897" s="42"/>
      <c r="V897" s="42"/>
      <c r="W897" s="42"/>
      <c r="X897" s="42"/>
      <c r="Y897" s="42"/>
      <c r="Z897" s="42"/>
    </row>
    <row r="898" ht="30.75" customHeight="1">
      <c r="A898" s="57" t="s">
        <v>2810</v>
      </c>
      <c r="B898" s="57" t="s">
        <v>181</v>
      </c>
      <c r="C898" s="57" t="s">
        <v>2829</v>
      </c>
      <c r="D898" s="57" t="s">
        <v>2830</v>
      </c>
      <c r="E898" s="57"/>
      <c r="F898" s="58">
        <v>58500.0</v>
      </c>
      <c r="G898" s="57" t="s">
        <v>251</v>
      </c>
      <c r="H898" s="59" t="s">
        <v>952</v>
      </c>
      <c r="I898" s="59" t="s">
        <v>953</v>
      </c>
      <c r="J898" s="61"/>
      <c r="K898" s="61"/>
      <c r="L898" s="42"/>
      <c r="M898" s="42"/>
      <c r="N898" s="42"/>
      <c r="O898" s="42"/>
      <c r="P898" s="42"/>
      <c r="Q898" s="42"/>
      <c r="R898" s="42"/>
      <c r="S898" s="42"/>
      <c r="T898" s="42"/>
      <c r="U898" s="42"/>
      <c r="V898" s="42"/>
      <c r="W898" s="42"/>
      <c r="X898" s="42"/>
      <c r="Y898" s="42"/>
      <c r="Z898" s="42"/>
    </row>
    <row r="899" ht="30.75" customHeight="1">
      <c r="A899" s="57" t="s">
        <v>2810</v>
      </c>
      <c r="B899" s="57" t="s">
        <v>181</v>
      </c>
      <c r="C899" s="57" t="s">
        <v>2831</v>
      </c>
      <c r="D899" s="57" t="s">
        <v>2832</v>
      </c>
      <c r="E899" s="57"/>
      <c r="F899" s="58">
        <v>173000.0</v>
      </c>
      <c r="G899" s="57" t="s">
        <v>251</v>
      </c>
      <c r="H899" s="59" t="s">
        <v>952</v>
      </c>
      <c r="I899" s="59" t="s">
        <v>953</v>
      </c>
      <c r="J899" s="61"/>
      <c r="K899" s="61"/>
      <c r="L899" s="42"/>
      <c r="M899" s="42"/>
      <c r="N899" s="42"/>
      <c r="O899" s="42"/>
      <c r="P899" s="42"/>
      <c r="Q899" s="42"/>
      <c r="R899" s="42"/>
      <c r="S899" s="42"/>
      <c r="T899" s="42"/>
      <c r="U899" s="42"/>
      <c r="V899" s="42"/>
      <c r="W899" s="42"/>
      <c r="X899" s="42"/>
      <c r="Y899" s="42"/>
      <c r="Z899" s="42"/>
    </row>
    <row r="900" ht="30.75" customHeight="1">
      <c r="A900" s="57" t="s">
        <v>2810</v>
      </c>
      <c r="B900" s="57" t="s">
        <v>181</v>
      </c>
      <c r="C900" s="57" t="s">
        <v>2833</v>
      </c>
      <c r="D900" s="57" t="s">
        <v>2834</v>
      </c>
      <c r="E900" s="57"/>
      <c r="F900" s="58">
        <v>287000.0</v>
      </c>
      <c r="G900" s="57" t="s">
        <v>251</v>
      </c>
      <c r="H900" s="59" t="s">
        <v>952</v>
      </c>
      <c r="I900" s="59" t="s">
        <v>953</v>
      </c>
      <c r="J900" s="61"/>
      <c r="K900" s="61"/>
      <c r="L900" s="42"/>
      <c r="M900" s="42"/>
      <c r="N900" s="42"/>
      <c r="O900" s="42"/>
      <c r="P900" s="42"/>
      <c r="Q900" s="42"/>
      <c r="R900" s="42"/>
      <c r="S900" s="42"/>
      <c r="T900" s="42"/>
      <c r="U900" s="42"/>
      <c r="V900" s="42"/>
      <c r="W900" s="42"/>
      <c r="X900" s="42"/>
      <c r="Y900" s="42"/>
      <c r="Z900" s="42"/>
    </row>
    <row r="901" ht="30.75" customHeight="1">
      <c r="A901" s="57" t="s">
        <v>2810</v>
      </c>
      <c r="B901" s="57" t="s">
        <v>181</v>
      </c>
      <c r="C901" s="57" t="s">
        <v>2835</v>
      </c>
      <c r="D901" s="57" t="s">
        <v>2836</v>
      </c>
      <c r="E901" s="57"/>
      <c r="F901" s="58">
        <v>462000.0</v>
      </c>
      <c r="G901" s="57" t="s">
        <v>251</v>
      </c>
      <c r="H901" s="59" t="s">
        <v>952</v>
      </c>
      <c r="I901" s="59" t="s">
        <v>953</v>
      </c>
      <c r="J901" s="61"/>
      <c r="K901" s="61"/>
      <c r="L901" s="42"/>
      <c r="M901" s="42"/>
      <c r="N901" s="42"/>
      <c r="O901" s="42"/>
      <c r="P901" s="42"/>
      <c r="Q901" s="42"/>
      <c r="R901" s="42"/>
      <c r="S901" s="42"/>
      <c r="T901" s="42"/>
      <c r="U901" s="42"/>
      <c r="V901" s="42"/>
      <c r="W901" s="42"/>
      <c r="X901" s="42"/>
      <c r="Y901" s="42"/>
      <c r="Z901" s="42"/>
    </row>
    <row r="902" ht="30.75" customHeight="1">
      <c r="A902" s="57" t="s">
        <v>2810</v>
      </c>
      <c r="B902" s="57" t="s">
        <v>181</v>
      </c>
      <c r="C902" s="57" t="s">
        <v>2837</v>
      </c>
      <c r="D902" s="57" t="s">
        <v>2838</v>
      </c>
      <c r="E902" s="57"/>
      <c r="F902" s="58">
        <v>557000.0</v>
      </c>
      <c r="G902" s="57" t="s">
        <v>251</v>
      </c>
      <c r="H902" s="59" t="s">
        <v>952</v>
      </c>
      <c r="I902" s="59" t="s">
        <v>953</v>
      </c>
      <c r="J902" s="61"/>
      <c r="K902" s="61"/>
      <c r="L902" s="42"/>
      <c r="M902" s="42"/>
      <c r="N902" s="42"/>
      <c r="O902" s="42"/>
      <c r="P902" s="42"/>
      <c r="Q902" s="42"/>
      <c r="R902" s="42"/>
      <c r="S902" s="42"/>
      <c r="T902" s="42"/>
      <c r="U902" s="42"/>
      <c r="V902" s="42"/>
      <c r="W902" s="42"/>
      <c r="X902" s="42"/>
      <c r="Y902" s="42"/>
      <c r="Z902" s="42"/>
    </row>
    <row r="903" ht="57.0" customHeight="1">
      <c r="A903" s="57" t="s">
        <v>2810</v>
      </c>
      <c r="B903" s="57" t="s">
        <v>181</v>
      </c>
      <c r="C903" s="57" t="s">
        <v>2839</v>
      </c>
      <c r="D903" s="57" t="s">
        <v>2840</v>
      </c>
      <c r="E903" s="57"/>
      <c r="F903" s="58">
        <v>801000.0</v>
      </c>
      <c r="G903" s="57" t="s">
        <v>251</v>
      </c>
      <c r="H903" s="59" t="s">
        <v>952</v>
      </c>
      <c r="I903" s="59" t="s">
        <v>953</v>
      </c>
      <c r="J903" s="61"/>
      <c r="K903" s="61"/>
      <c r="L903" s="42"/>
      <c r="M903" s="42"/>
      <c r="N903" s="42"/>
      <c r="O903" s="42"/>
      <c r="P903" s="42"/>
      <c r="Q903" s="42"/>
      <c r="R903" s="42"/>
      <c r="S903" s="42"/>
      <c r="T903" s="42"/>
      <c r="U903" s="42"/>
      <c r="V903" s="42"/>
      <c r="W903" s="42"/>
      <c r="X903" s="42"/>
      <c r="Y903" s="42"/>
      <c r="Z903" s="42"/>
    </row>
    <row r="904" ht="57.0" customHeight="1">
      <c r="A904" s="57" t="s">
        <v>2810</v>
      </c>
      <c r="B904" s="57" t="s">
        <v>181</v>
      </c>
      <c r="C904" s="57" t="s">
        <v>2841</v>
      </c>
      <c r="D904" s="57" t="s">
        <v>2842</v>
      </c>
      <c r="E904" s="57"/>
      <c r="F904" s="58">
        <v>1416000.0</v>
      </c>
      <c r="G904" s="57" t="s">
        <v>251</v>
      </c>
      <c r="H904" s="59" t="s">
        <v>952</v>
      </c>
      <c r="I904" s="59" t="s">
        <v>953</v>
      </c>
      <c r="J904" s="61"/>
      <c r="K904" s="61"/>
      <c r="L904" s="42"/>
      <c r="M904" s="42"/>
      <c r="N904" s="42"/>
      <c r="O904" s="42"/>
      <c r="P904" s="42"/>
      <c r="Q904" s="42"/>
      <c r="R904" s="42"/>
      <c r="S904" s="42"/>
      <c r="T904" s="42"/>
      <c r="U904" s="42"/>
      <c r="V904" s="42"/>
      <c r="W904" s="42"/>
      <c r="X904" s="42"/>
      <c r="Y904" s="42"/>
      <c r="Z904" s="42"/>
    </row>
    <row r="905" ht="57.0" customHeight="1">
      <c r="A905" s="57" t="s">
        <v>2810</v>
      </c>
      <c r="B905" s="57" t="s">
        <v>181</v>
      </c>
      <c r="C905" s="57" t="s">
        <v>2843</v>
      </c>
      <c r="D905" s="57" t="s">
        <v>2844</v>
      </c>
      <c r="E905" s="57"/>
      <c r="F905" s="58">
        <v>2086000.0</v>
      </c>
      <c r="G905" s="57" t="s">
        <v>251</v>
      </c>
      <c r="H905" s="59" t="s">
        <v>952</v>
      </c>
      <c r="I905" s="59" t="s">
        <v>953</v>
      </c>
      <c r="J905" s="61"/>
      <c r="K905" s="61"/>
      <c r="L905" s="42"/>
      <c r="M905" s="42"/>
      <c r="N905" s="42"/>
      <c r="O905" s="42"/>
      <c r="P905" s="42"/>
      <c r="Q905" s="42"/>
      <c r="R905" s="42"/>
      <c r="S905" s="42"/>
      <c r="T905" s="42"/>
      <c r="U905" s="42"/>
      <c r="V905" s="42"/>
      <c r="W905" s="42"/>
      <c r="X905" s="42"/>
      <c r="Y905" s="42"/>
      <c r="Z905" s="42"/>
    </row>
    <row r="906" ht="57.0" customHeight="1">
      <c r="A906" s="57" t="s">
        <v>2810</v>
      </c>
      <c r="B906" s="57" t="s">
        <v>181</v>
      </c>
      <c r="C906" s="57" t="s">
        <v>2845</v>
      </c>
      <c r="D906" s="57" t="s">
        <v>2846</v>
      </c>
      <c r="E906" s="57"/>
      <c r="F906" s="58">
        <v>2474000.0</v>
      </c>
      <c r="G906" s="57" t="s">
        <v>251</v>
      </c>
      <c r="H906" s="59" t="s">
        <v>952</v>
      </c>
      <c r="I906" s="59" t="s">
        <v>953</v>
      </c>
      <c r="J906" s="61"/>
      <c r="K906" s="61"/>
      <c r="L906" s="42"/>
      <c r="M906" s="42"/>
      <c r="N906" s="42"/>
      <c r="O906" s="42"/>
      <c r="P906" s="42"/>
      <c r="Q906" s="42"/>
      <c r="R906" s="42"/>
      <c r="S906" s="42"/>
      <c r="T906" s="42"/>
      <c r="U906" s="42"/>
      <c r="V906" s="42"/>
      <c r="W906" s="42"/>
      <c r="X906" s="42"/>
      <c r="Y906" s="42"/>
      <c r="Z906" s="42"/>
    </row>
    <row r="907" ht="57.0" customHeight="1">
      <c r="A907" s="57" t="s">
        <v>2810</v>
      </c>
      <c r="B907" s="57" t="s">
        <v>181</v>
      </c>
      <c r="C907" s="57" t="s">
        <v>2847</v>
      </c>
      <c r="D907" s="57" t="s">
        <v>2848</v>
      </c>
      <c r="E907" s="57"/>
      <c r="F907" s="58">
        <v>3700000.0</v>
      </c>
      <c r="G907" s="57" t="s">
        <v>251</v>
      </c>
      <c r="H907" s="59" t="s">
        <v>952</v>
      </c>
      <c r="I907" s="59" t="s">
        <v>953</v>
      </c>
      <c r="J907" s="61"/>
      <c r="K907" s="61"/>
      <c r="L907" s="42"/>
      <c r="M907" s="42"/>
      <c r="N907" s="42"/>
      <c r="O907" s="42"/>
      <c r="P907" s="42"/>
      <c r="Q907" s="42"/>
      <c r="R907" s="42"/>
      <c r="S907" s="42"/>
      <c r="T907" s="42"/>
      <c r="U907" s="42"/>
      <c r="V907" s="42"/>
      <c r="W907" s="42"/>
      <c r="X907" s="42"/>
      <c r="Y907" s="42"/>
      <c r="Z907" s="42"/>
    </row>
    <row r="908" ht="30.75" customHeight="1">
      <c r="A908" s="57" t="s">
        <v>2810</v>
      </c>
      <c r="B908" s="57" t="s">
        <v>181</v>
      </c>
      <c r="C908" s="57" t="s">
        <v>2849</v>
      </c>
      <c r="D908" s="57" t="s">
        <v>2850</v>
      </c>
      <c r="E908" s="57" t="s">
        <v>2851</v>
      </c>
      <c r="F908" s="58">
        <v>5600000.0</v>
      </c>
      <c r="G908" s="57" t="s">
        <v>251</v>
      </c>
      <c r="H908" s="59" t="s">
        <v>252</v>
      </c>
      <c r="I908" s="60" t="s">
        <v>253</v>
      </c>
      <c r="J908" s="61"/>
      <c r="K908" s="61"/>
      <c r="L908" s="42"/>
      <c r="M908" s="42"/>
      <c r="N908" s="42"/>
      <c r="O908" s="42"/>
      <c r="P908" s="42"/>
      <c r="Q908" s="42"/>
      <c r="R908" s="42"/>
      <c r="S908" s="42"/>
      <c r="T908" s="42"/>
      <c r="U908" s="42"/>
      <c r="V908" s="42"/>
      <c r="W908" s="42"/>
      <c r="X908" s="42"/>
      <c r="Y908" s="42"/>
      <c r="Z908" s="42"/>
    </row>
    <row r="909" ht="30.75" customHeight="1">
      <c r="A909" s="57" t="s">
        <v>2810</v>
      </c>
      <c r="B909" s="57" t="s">
        <v>181</v>
      </c>
      <c r="C909" s="57" t="s">
        <v>2852</v>
      </c>
      <c r="D909" s="57" t="s">
        <v>2853</v>
      </c>
      <c r="E909" s="57" t="s">
        <v>2854</v>
      </c>
      <c r="F909" s="58">
        <v>6400000.0</v>
      </c>
      <c r="G909" s="57" t="s">
        <v>251</v>
      </c>
      <c r="H909" s="59" t="s">
        <v>252</v>
      </c>
      <c r="I909" s="60" t="s">
        <v>253</v>
      </c>
      <c r="J909" s="61"/>
      <c r="K909" s="61"/>
      <c r="L909" s="42"/>
      <c r="M909" s="42"/>
      <c r="N909" s="42"/>
      <c r="O909" s="42"/>
      <c r="P909" s="42"/>
      <c r="Q909" s="42"/>
      <c r="R909" s="42"/>
      <c r="S909" s="42"/>
      <c r="T909" s="42"/>
      <c r="U909" s="42"/>
      <c r="V909" s="42"/>
      <c r="W909" s="42"/>
      <c r="X909" s="42"/>
      <c r="Y909" s="42"/>
      <c r="Z909" s="42"/>
    </row>
    <row r="910" ht="57.0" customHeight="1">
      <c r="A910" s="57" t="s">
        <v>2810</v>
      </c>
      <c r="B910" s="57" t="s">
        <v>181</v>
      </c>
      <c r="C910" s="57" t="s">
        <v>2855</v>
      </c>
      <c r="D910" s="57" t="s">
        <v>2856</v>
      </c>
      <c r="E910" s="57"/>
      <c r="F910" s="58">
        <v>129000.0</v>
      </c>
      <c r="G910" s="57" t="s">
        <v>1571</v>
      </c>
      <c r="H910" s="59" t="s">
        <v>952</v>
      </c>
      <c r="I910" s="59" t="s">
        <v>953</v>
      </c>
      <c r="J910" s="61"/>
      <c r="K910" s="61"/>
      <c r="L910" s="42"/>
      <c r="M910" s="42"/>
      <c r="N910" s="42"/>
      <c r="O910" s="42"/>
      <c r="P910" s="42"/>
      <c r="Q910" s="42"/>
      <c r="R910" s="42"/>
      <c r="S910" s="42"/>
      <c r="T910" s="42"/>
      <c r="U910" s="42"/>
      <c r="V910" s="42"/>
      <c r="W910" s="42"/>
      <c r="X910" s="42"/>
      <c r="Y910" s="42"/>
      <c r="Z910" s="42"/>
    </row>
    <row r="911" ht="57.0" customHeight="1">
      <c r="A911" s="57" t="s">
        <v>2810</v>
      </c>
      <c r="B911" s="57" t="s">
        <v>181</v>
      </c>
      <c r="C911" s="57" t="s">
        <v>2857</v>
      </c>
      <c r="D911" s="57" t="s">
        <v>2858</v>
      </c>
      <c r="E911" s="57"/>
      <c r="F911" s="58">
        <v>188000.0</v>
      </c>
      <c r="G911" s="57" t="s">
        <v>1571</v>
      </c>
      <c r="H911" s="59" t="s">
        <v>952</v>
      </c>
      <c r="I911" s="59" t="s">
        <v>953</v>
      </c>
      <c r="J911" s="61"/>
      <c r="K911" s="61"/>
      <c r="L911" s="42"/>
      <c r="M911" s="42"/>
      <c r="N911" s="42"/>
      <c r="O911" s="42"/>
      <c r="P911" s="42"/>
      <c r="Q911" s="42"/>
      <c r="R911" s="42"/>
      <c r="S911" s="42"/>
      <c r="T911" s="42"/>
      <c r="U911" s="42"/>
      <c r="V911" s="42"/>
      <c r="W911" s="42"/>
      <c r="X911" s="42"/>
      <c r="Y911" s="42"/>
      <c r="Z911" s="42"/>
    </row>
    <row r="912" ht="57.0" customHeight="1">
      <c r="A912" s="57" t="s">
        <v>2810</v>
      </c>
      <c r="B912" s="57" t="s">
        <v>181</v>
      </c>
      <c r="C912" s="57" t="s">
        <v>2859</v>
      </c>
      <c r="D912" s="57" t="s">
        <v>2860</v>
      </c>
      <c r="E912" s="57"/>
      <c r="F912" s="58">
        <v>207000.0</v>
      </c>
      <c r="G912" s="57" t="s">
        <v>1571</v>
      </c>
      <c r="H912" s="59" t="s">
        <v>952</v>
      </c>
      <c r="I912" s="59" t="s">
        <v>953</v>
      </c>
      <c r="J912" s="61"/>
      <c r="K912" s="61"/>
      <c r="L912" s="42"/>
      <c r="M912" s="42"/>
      <c r="N912" s="42"/>
      <c r="O912" s="42"/>
      <c r="P912" s="42"/>
      <c r="Q912" s="42"/>
      <c r="R912" s="42"/>
      <c r="S912" s="42"/>
      <c r="T912" s="42"/>
      <c r="U912" s="42"/>
      <c r="V912" s="42"/>
      <c r="W912" s="42"/>
      <c r="X912" s="42"/>
      <c r="Y912" s="42"/>
      <c r="Z912" s="42"/>
    </row>
    <row r="913" ht="57.0" customHeight="1">
      <c r="A913" s="57" t="s">
        <v>2810</v>
      </c>
      <c r="B913" s="57" t="s">
        <v>181</v>
      </c>
      <c r="C913" s="57" t="s">
        <v>2861</v>
      </c>
      <c r="D913" s="57" t="s">
        <v>2862</v>
      </c>
      <c r="E913" s="57"/>
      <c r="F913" s="58">
        <v>303000.0</v>
      </c>
      <c r="G913" s="57" t="s">
        <v>1571</v>
      </c>
      <c r="H913" s="59" t="s">
        <v>952</v>
      </c>
      <c r="I913" s="59" t="s">
        <v>953</v>
      </c>
      <c r="J913" s="61"/>
      <c r="K913" s="61"/>
      <c r="L913" s="42"/>
      <c r="M913" s="42"/>
      <c r="N913" s="42"/>
      <c r="O913" s="42"/>
      <c r="P913" s="42"/>
      <c r="Q913" s="42"/>
      <c r="R913" s="42"/>
      <c r="S913" s="42"/>
      <c r="T913" s="42"/>
      <c r="U913" s="42"/>
      <c r="V913" s="42"/>
      <c r="W913" s="42"/>
      <c r="X913" s="42"/>
      <c r="Y913" s="42"/>
      <c r="Z913" s="42"/>
    </row>
    <row r="914" ht="57.0" customHeight="1">
      <c r="A914" s="57" t="s">
        <v>2810</v>
      </c>
      <c r="B914" s="57" t="s">
        <v>181</v>
      </c>
      <c r="C914" s="57" t="s">
        <v>2863</v>
      </c>
      <c r="D914" s="57" t="s">
        <v>2864</v>
      </c>
      <c r="E914" s="57"/>
      <c r="F914" s="58">
        <v>416000.0</v>
      </c>
      <c r="G914" s="57" t="s">
        <v>1571</v>
      </c>
      <c r="H914" s="59" t="s">
        <v>952</v>
      </c>
      <c r="I914" s="59" t="s">
        <v>953</v>
      </c>
      <c r="J914" s="61"/>
      <c r="K914" s="61"/>
      <c r="L914" s="42"/>
      <c r="M914" s="42"/>
      <c r="N914" s="42"/>
      <c r="O914" s="42"/>
      <c r="P914" s="42"/>
      <c r="Q914" s="42"/>
      <c r="R914" s="42"/>
      <c r="S914" s="42"/>
      <c r="T914" s="42"/>
      <c r="U914" s="42"/>
      <c r="V914" s="42"/>
      <c r="W914" s="42"/>
      <c r="X914" s="42"/>
      <c r="Y914" s="42"/>
      <c r="Z914" s="42"/>
    </row>
    <row r="915" ht="57.0" customHeight="1">
      <c r="A915" s="57" t="s">
        <v>2810</v>
      </c>
      <c r="B915" s="57" t="s">
        <v>181</v>
      </c>
      <c r="C915" s="57" t="s">
        <v>2865</v>
      </c>
      <c r="D915" s="57" t="s">
        <v>2866</v>
      </c>
      <c r="E915" s="57"/>
      <c r="F915" s="58">
        <v>473000.0</v>
      </c>
      <c r="G915" s="57" t="s">
        <v>1571</v>
      </c>
      <c r="H915" s="59" t="s">
        <v>952</v>
      </c>
      <c r="I915" s="59" t="s">
        <v>953</v>
      </c>
      <c r="J915" s="61"/>
      <c r="K915" s="61"/>
      <c r="L915" s="42"/>
      <c r="M915" s="42"/>
      <c r="N915" s="42"/>
      <c r="O915" s="42"/>
      <c r="P915" s="42"/>
      <c r="Q915" s="42"/>
      <c r="R915" s="42"/>
      <c r="S915" s="42"/>
      <c r="T915" s="42"/>
      <c r="U915" s="42"/>
      <c r="V915" s="42"/>
      <c r="W915" s="42"/>
      <c r="X915" s="42"/>
      <c r="Y915" s="42"/>
      <c r="Z915" s="42"/>
    </row>
    <row r="916" ht="30.75" customHeight="1">
      <c r="A916" s="52" t="s">
        <v>2867</v>
      </c>
      <c r="B916" s="52" t="s">
        <v>185</v>
      </c>
      <c r="C916" s="52" t="s">
        <v>186</v>
      </c>
      <c r="D916" s="52" t="s">
        <v>187</v>
      </c>
      <c r="E916" s="52"/>
      <c r="F916" s="62"/>
      <c r="G916" s="52"/>
      <c r="H916" s="63"/>
      <c r="I916" s="63"/>
      <c r="J916" s="54"/>
      <c r="K916" s="54"/>
      <c r="L916" s="56"/>
      <c r="M916" s="56"/>
      <c r="N916" s="56"/>
      <c r="O916" s="56"/>
      <c r="P916" s="56"/>
      <c r="Q916" s="56"/>
      <c r="R916" s="56"/>
      <c r="S916" s="56"/>
      <c r="T916" s="56"/>
      <c r="U916" s="56"/>
      <c r="V916" s="56"/>
      <c r="W916" s="56"/>
      <c r="X916" s="56"/>
      <c r="Y916" s="56"/>
      <c r="Z916" s="56"/>
    </row>
    <row r="917" ht="30.75" customHeight="1">
      <c r="A917" s="57" t="s">
        <v>2867</v>
      </c>
      <c r="B917" s="57" t="s">
        <v>185</v>
      </c>
      <c r="C917" s="57" t="s">
        <v>2868</v>
      </c>
      <c r="D917" s="57" t="s">
        <v>2869</v>
      </c>
      <c r="E917" s="57"/>
      <c r="F917" s="58">
        <v>14500.0</v>
      </c>
      <c r="G917" s="57" t="s">
        <v>2387</v>
      </c>
      <c r="H917" s="59" t="s">
        <v>952</v>
      </c>
      <c r="I917" s="59" t="s">
        <v>953</v>
      </c>
      <c r="J917" s="61"/>
      <c r="K917" s="61"/>
      <c r="L917" s="42"/>
      <c r="M917" s="42"/>
      <c r="N917" s="42"/>
      <c r="O917" s="42"/>
      <c r="P917" s="42"/>
      <c r="Q917" s="42"/>
      <c r="R917" s="42"/>
      <c r="S917" s="42"/>
      <c r="T917" s="42"/>
      <c r="U917" s="42"/>
      <c r="V917" s="42"/>
      <c r="W917" s="42"/>
      <c r="X917" s="42"/>
      <c r="Y917" s="42"/>
      <c r="Z917" s="42"/>
    </row>
    <row r="918" ht="30.75" customHeight="1">
      <c r="A918" s="57" t="s">
        <v>2867</v>
      </c>
      <c r="B918" s="57" t="s">
        <v>185</v>
      </c>
      <c r="C918" s="57" t="s">
        <v>2870</v>
      </c>
      <c r="D918" s="57" t="s">
        <v>2871</v>
      </c>
      <c r="E918" s="57"/>
      <c r="F918" s="58">
        <v>5000.0</v>
      </c>
      <c r="G918" s="57" t="s">
        <v>251</v>
      </c>
      <c r="H918" s="59" t="s">
        <v>952</v>
      </c>
      <c r="I918" s="59" t="s">
        <v>953</v>
      </c>
      <c r="J918" s="61"/>
      <c r="K918" s="61"/>
      <c r="L918" s="42"/>
      <c r="M918" s="42"/>
      <c r="N918" s="42"/>
      <c r="O918" s="42"/>
      <c r="P918" s="42"/>
      <c r="Q918" s="42"/>
      <c r="R918" s="42"/>
      <c r="S918" s="42"/>
      <c r="T918" s="42"/>
      <c r="U918" s="42"/>
      <c r="V918" s="42"/>
      <c r="W918" s="42"/>
      <c r="X918" s="42"/>
      <c r="Y918" s="42"/>
      <c r="Z918" s="42"/>
    </row>
    <row r="919" ht="30.75" customHeight="1">
      <c r="A919" s="57" t="s">
        <v>2867</v>
      </c>
      <c r="B919" s="57" t="s">
        <v>185</v>
      </c>
      <c r="C919" s="57" t="s">
        <v>2872</v>
      </c>
      <c r="D919" s="57" t="s">
        <v>2873</v>
      </c>
      <c r="E919" s="57"/>
      <c r="F919" s="58">
        <v>5500.0</v>
      </c>
      <c r="G919" s="57" t="s">
        <v>251</v>
      </c>
      <c r="H919" s="59" t="s">
        <v>952</v>
      </c>
      <c r="I919" s="59" t="s">
        <v>953</v>
      </c>
      <c r="J919" s="61"/>
      <c r="K919" s="61"/>
      <c r="L919" s="42"/>
      <c r="M919" s="42"/>
      <c r="N919" s="42"/>
      <c r="O919" s="42"/>
      <c r="P919" s="42"/>
      <c r="Q919" s="42"/>
      <c r="R919" s="42"/>
      <c r="S919" s="42"/>
      <c r="T919" s="42"/>
      <c r="U919" s="42"/>
      <c r="V919" s="42"/>
      <c r="W919" s="42"/>
      <c r="X919" s="42"/>
      <c r="Y919" s="42"/>
      <c r="Z919" s="42"/>
    </row>
    <row r="920" ht="30.75" customHeight="1">
      <c r="A920" s="57" t="s">
        <v>2867</v>
      </c>
      <c r="B920" s="57" t="s">
        <v>185</v>
      </c>
      <c r="C920" s="57" t="s">
        <v>2874</v>
      </c>
      <c r="D920" s="57" t="s">
        <v>2875</v>
      </c>
      <c r="E920" s="57"/>
      <c r="F920" s="58">
        <v>6300.0</v>
      </c>
      <c r="G920" s="57" t="s">
        <v>251</v>
      </c>
      <c r="H920" s="59" t="s">
        <v>952</v>
      </c>
      <c r="I920" s="59" t="s">
        <v>953</v>
      </c>
      <c r="J920" s="61"/>
      <c r="K920" s="61"/>
      <c r="L920" s="42"/>
      <c r="M920" s="42"/>
      <c r="N920" s="42"/>
      <c r="O920" s="42"/>
      <c r="P920" s="42"/>
      <c r="Q920" s="42"/>
      <c r="R920" s="42"/>
      <c r="S920" s="42"/>
      <c r="T920" s="42"/>
      <c r="U920" s="42"/>
      <c r="V920" s="42"/>
      <c r="W920" s="42"/>
      <c r="X920" s="42"/>
      <c r="Y920" s="42"/>
      <c r="Z920" s="42"/>
    </row>
    <row r="921" ht="30.75" customHeight="1">
      <c r="A921" s="57" t="s">
        <v>2867</v>
      </c>
      <c r="B921" s="57" t="s">
        <v>185</v>
      </c>
      <c r="C921" s="57" t="s">
        <v>2876</v>
      </c>
      <c r="D921" s="57" t="s">
        <v>2877</v>
      </c>
      <c r="E921" s="57"/>
      <c r="F921" s="58">
        <v>6400.0</v>
      </c>
      <c r="G921" s="57" t="s">
        <v>251</v>
      </c>
      <c r="H921" s="59" t="s">
        <v>952</v>
      </c>
      <c r="I921" s="59" t="s">
        <v>953</v>
      </c>
      <c r="J921" s="61"/>
      <c r="K921" s="61"/>
      <c r="L921" s="42"/>
      <c r="M921" s="42"/>
      <c r="N921" s="42"/>
      <c r="O921" s="42"/>
      <c r="P921" s="42"/>
      <c r="Q921" s="42"/>
      <c r="R921" s="42"/>
      <c r="S921" s="42"/>
      <c r="T921" s="42"/>
      <c r="U921" s="42"/>
      <c r="V921" s="42"/>
      <c r="W921" s="42"/>
      <c r="X921" s="42"/>
      <c r="Y921" s="42"/>
      <c r="Z921" s="42"/>
    </row>
    <row r="922" ht="57.0" customHeight="1">
      <c r="A922" s="57" t="s">
        <v>2867</v>
      </c>
      <c r="B922" s="57" t="s">
        <v>185</v>
      </c>
      <c r="C922" s="57" t="s">
        <v>2878</v>
      </c>
      <c r="D922" s="57" t="s">
        <v>2879</v>
      </c>
      <c r="E922" s="57"/>
      <c r="F922" s="58">
        <v>7600.0</v>
      </c>
      <c r="G922" s="57" t="s">
        <v>251</v>
      </c>
      <c r="H922" s="59" t="s">
        <v>952</v>
      </c>
      <c r="I922" s="59" t="s">
        <v>953</v>
      </c>
      <c r="J922" s="61"/>
      <c r="K922" s="61"/>
      <c r="L922" s="42"/>
      <c r="M922" s="42"/>
      <c r="N922" s="42"/>
      <c r="O922" s="42"/>
      <c r="P922" s="42"/>
      <c r="Q922" s="42"/>
      <c r="R922" s="42"/>
      <c r="S922" s="42"/>
      <c r="T922" s="42"/>
      <c r="U922" s="42"/>
      <c r="V922" s="42"/>
      <c r="W922" s="42"/>
      <c r="X922" s="42"/>
      <c r="Y922" s="42"/>
      <c r="Z922" s="42"/>
    </row>
    <row r="923" ht="57.0" customHeight="1">
      <c r="A923" s="57" t="s">
        <v>2867</v>
      </c>
      <c r="B923" s="57" t="s">
        <v>185</v>
      </c>
      <c r="C923" s="57" t="s">
        <v>2880</v>
      </c>
      <c r="D923" s="57" t="s">
        <v>2881</v>
      </c>
      <c r="E923" s="57"/>
      <c r="F923" s="58">
        <v>7600.0</v>
      </c>
      <c r="G923" s="57" t="s">
        <v>251</v>
      </c>
      <c r="H923" s="59" t="s">
        <v>952</v>
      </c>
      <c r="I923" s="59" t="s">
        <v>953</v>
      </c>
      <c r="J923" s="61"/>
      <c r="K923" s="61"/>
      <c r="L923" s="42"/>
      <c r="M923" s="42"/>
      <c r="N923" s="42"/>
      <c r="O923" s="42"/>
      <c r="P923" s="42"/>
      <c r="Q923" s="42"/>
      <c r="R923" s="42"/>
      <c r="S923" s="42"/>
      <c r="T923" s="42"/>
      <c r="U923" s="42"/>
      <c r="V923" s="42"/>
      <c r="W923" s="42"/>
      <c r="X923" s="42"/>
      <c r="Y923" s="42"/>
      <c r="Z923" s="42"/>
    </row>
    <row r="924" ht="57.0" customHeight="1">
      <c r="A924" s="57" t="s">
        <v>2867</v>
      </c>
      <c r="B924" s="57" t="s">
        <v>185</v>
      </c>
      <c r="C924" s="57" t="s">
        <v>2882</v>
      </c>
      <c r="D924" s="57" t="s">
        <v>2883</v>
      </c>
      <c r="E924" s="57"/>
      <c r="F924" s="58">
        <v>8300.0</v>
      </c>
      <c r="G924" s="57" t="s">
        <v>251</v>
      </c>
      <c r="H924" s="59" t="s">
        <v>952</v>
      </c>
      <c r="I924" s="59" t="s">
        <v>953</v>
      </c>
      <c r="J924" s="61"/>
      <c r="K924" s="61"/>
      <c r="L924" s="42"/>
      <c r="M924" s="42"/>
      <c r="N924" s="42"/>
      <c r="O924" s="42"/>
      <c r="P924" s="42"/>
      <c r="Q924" s="42"/>
      <c r="R924" s="42"/>
      <c r="S924" s="42"/>
      <c r="T924" s="42"/>
      <c r="U924" s="42"/>
      <c r="V924" s="42"/>
      <c r="W924" s="42"/>
      <c r="X924" s="42"/>
      <c r="Y924" s="42"/>
      <c r="Z924" s="42"/>
    </row>
    <row r="925" ht="30.75" customHeight="1">
      <c r="A925" s="57" t="s">
        <v>2867</v>
      </c>
      <c r="B925" s="57" t="s">
        <v>185</v>
      </c>
      <c r="C925" s="57" t="s">
        <v>2884</v>
      </c>
      <c r="D925" s="57" t="s">
        <v>2885</v>
      </c>
      <c r="E925" s="57"/>
      <c r="F925" s="58">
        <v>6200.0</v>
      </c>
      <c r="G925" s="57" t="s">
        <v>251</v>
      </c>
      <c r="H925" s="59" t="s">
        <v>952</v>
      </c>
      <c r="I925" s="59" t="s">
        <v>953</v>
      </c>
      <c r="J925" s="61"/>
      <c r="K925" s="61"/>
      <c r="L925" s="42"/>
      <c r="M925" s="42"/>
      <c r="N925" s="42"/>
      <c r="O925" s="42"/>
      <c r="P925" s="42"/>
      <c r="Q925" s="42"/>
      <c r="R925" s="42"/>
      <c r="S925" s="42"/>
      <c r="T925" s="42"/>
      <c r="U925" s="42"/>
      <c r="V925" s="42"/>
      <c r="W925" s="42"/>
      <c r="X925" s="42"/>
      <c r="Y925" s="42"/>
      <c r="Z925" s="42"/>
    </row>
    <row r="926" ht="30.75" customHeight="1">
      <c r="A926" s="57" t="s">
        <v>2867</v>
      </c>
      <c r="B926" s="57" t="s">
        <v>185</v>
      </c>
      <c r="C926" s="57" t="s">
        <v>2886</v>
      </c>
      <c r="D926" s="57" t="s">
        <v>2887</v>
      </c>
      <c r="E926" s="57"/>
      <c r="F926" s="58">
        <v>6300.0</v>
      </c>
      <c r="G926" s="57" t="s">
        <v>251</v>
      </c>
      <c r="H926" s="59" t="s">
        <v>952</v>
      </c>
      <c r="I926" s="59" t="s">
        <v>953</v>
      </c>
      <c r="J926" s="61"/>
      <c r="K926" s="61"/>
      <c r="L926" s="42"/>
      <c r="M926" s="42"/>
      <c r="N926" s="42"/>
      <c r="O926" s="42"/>
      <c r="P926" s="42"/>
      <c r="Q926" s="42"/>
      <c r="R926" s="42"/>
      <c r="S926" s="42"/>
      <c r="T926" s="42"/>
      <c r="U926" s="42"/>
      <c r="V926" s="42"/>
      <c r="W926" s="42"/>
      <c r="X926" s="42"/>
      <c r="Y926" s="42"/>
      <c r="Z926" s="42"/>
    </row>
    <row r="927" ht="30.75" customHeight="1">
      <c r="A927" s="57" t="s">
        <v>2867</v>
      </c>
      <c r="B927" s="57" t="s">
        <v>185</v>
      </c>
      <c r="C927" s="57" t="s">
        <v>2888</v>
      </c>
      <c r="D927" s="57" t="s">
        <v>2889</v>
      </c>
      <c r="E927" s="57"/>
      <c r="F927" s="58">
        <v>10000.0</v>
      </c>
      <c r="G927" s="57" t="s">
        <v>251</v>
      </c>
      <c r="H927" s="59" t="s">
        <v>952</v>
      </c>
      <c r="I927" s="59" t="s">
        <v>953</v>
      </c>
      <c r="J927" s="61"/>
      <c r="K927" s="61"/>
      <c r="L927" s="42"/>
      <c r="M927" s="42"/>
      <c r="N927" s="42"/>
      <c r="O927" s="42"/>
      <c r="P927" s="42"/>
      <c r="Q927" s="42"/>
      <c r="R927" s="42"/>
      <c r="S927" s="42"/>
      <c r="T927" s="42"/>
      <c r="U927" s="42"/>
      <c r="V927" s="42"/>
      <c r="W927" s="42"/>
      <c r="X927" s="42"/>
      <c r="Y927" s="42"/>
      <c r="Z927" s="42"/>
    </row>
    <row r="928" ht="30.75" customHeight="1">
      <c r="A928" s="57" t="s">
        <v>2867</v>
      </c>
      <c r="B928" s="57" t="s">
        <v>185</v>
      </c>
      <c r="C928" s="57" t="s">
        <v>2890</v>
      </c>
      <c r="D928" s="57" t="s">
        <v>2891</v>
      </c>
      <c r="E928" s="57"/>
      <c r="F928" s="58">
        <v>13400.0</v>
      </c>
      <c r="G928" s="57" t="s">
        <v>251</v>
      </c>
      <c r="H928" s="59" t="s">
        <v>952</v>
      </c>
      <c r="I928" s="59" t="s">
        <v>953</v>
      </c>
      <c r="J928" s="61"/>
      <c r="K928" s="61"/>
      <c r="L928" s="42"/>
      <c r="M928" s="42"/>
      <c r="N928" s="42"/>
      <c r="O928" s="42"/>
      <c r="P928" s="42"/>
      <c r="Q928" s="42"/>
      <c r="R928" s="42"/>
      <c r="S928" s="42"/>
      <c r="T928" s="42"/>
      <c r="U928" s="42"/>
      <c r="V928" s="42"/>
      <c r="W928" s="42"/>
      <c r="X928" s="42"/>
      <c r="Y928" s="42"/>
      <c r="Z928" s="42"/>
    </row>
    <row r="929" ht="30.75" customHeight="1">
      <c r="A929" s="57" t="s">
        <v>2867</v>
      </c>
      <c r="B929" s="57" t="s">
        <v>185</v>
      </c>
      <c r="C929" s="57" t="s">
        <v>2892</v>
      </c>
      <c r="D929" s="57" t="s">
        <v>2893</v>
      </c>
      <c r="E929" s="57"/>
      <c r="F929" s="58">
        <v>16100.0</v>
      </c>
      <c r="G929" s="57" t="s">
        <v>251</v>
      </c>
      <c r="H929" s="59" t="s">
        <v>952</v>
      </c>
      <c r="I929" s="59" t="s">
        <v>953</v>
      </c>
      <c r="J929" s="61"/>
      <c r="K929" s="61"/>
      <c r="L929" s="42"/>
      <c r="M929" s="42"/>
      <c r="N929" s="42"/>
      <c r="O929" s="42"/>
      <c r="P929" s="42"/>
      <c r="Q929" s="42"/>
      <c r="R929" s="42"/>
      <c r="S929" s="42"/>
      <c r="T929" s="42"/>
      <c r="U929" s="42"/>
      <c r="V929" s="42"/>
      <c r="W929" s="42"/>
      <c r="X929" s="42"/>
      <c r="Y929" s="42"/>
      <c r="Z929" s="42"/>
    </row>
    <row r="930" ht="30.75" customHeight="1">
      <c r="A930" s="57" t="s">
        <v>2867</v>
      </c>
      <c r="B930" s="57" t="s">
        <v>185</v>
      </c>
      <c r="C930" s="57" t="s">
        <v>2894</v>
      </c>
      <c r="D930" s="57" t="s">
        <v>2895</v>
      </c>
      <c r="E930" s="57"/>
      <c r="F930" s="58">
        <v>11700.0</v>
      </c>
      <c r="G930" s="57" t="s">
        <v>251</v>
      </c>
      <c r="H930" s="59" t="s">
        <v>952</v>
      </c>
      <c r="I930" s="59" t="s">
        <v>953</v>
      </c>
      <c r="J930" s="61"/>
      <c r="K930" s="61"/>
      <c r="L930" s="42"/>
      <c r="M930" s="42"/>
      <c r="N930" s="42"/>
      <c r="O930" s="42"/>
      <c r="P930" s="42"/>
      <c r="Q930" s="42"/>
      <c r="R930" s="42"/>
      <c r="S930" s="42"/>
      <c r="T930" s="42"/>
      <c r="U930" s="42"/>
      <c r="V930" s="42"/>
      <c r="W930" s="42"/>
      <c r="X930" s="42"/>
      <c r="Y930" s="42"/>
      <c r="Z930" s="42"/>
    </row>
    <row r="931" ht="30.75" customHeight="1">
      <c r="A931" s="57" t="s">
        <v>2867</v>
      </c>
      <c r="B931" s="57" t="s">
        <v>185</v>
      </c>
      <c r="C931" s="57" t="s">
        <v>2896</v>
      </c>
      <c r="D931" s="57" t="s">
        <v>2897</v>
      </c>
      <c r="E931" s="57"/>
      <c r="F931" s="58">
        <v>14500.0</v>
      </c>
      <c r="G931" s="57" t="s">
        <v>251</v>
      </c>
      <c r="H931" s="59" t="s">
        <v>952</v>
      </c>
      <c r="I931" s="59" t="s">
        <v>953</v>
      </c>
      <c r="J931" s="61"/>
      <c r="K931" s="61"/>
      <c r="L931" s="42"/>
      <c r="M931" s="42"/>
      <c r="N931" s="42"/>
      <c r="O931" s="42"/>
      <c r="P931" s="42"/>
      <c r="Q931" s="42"/>
      <c r="R931" s="42"/>
      <c r="S931" s="42"/>
      <c r="T931" s="42"/>
      <c r="U931" s="42"/>
      <c r="V931" s="42"/>
      <c r="W931" s="42"/>
      <c r="X931" s="42"/>
      <c r="Y931" s="42"/>
      <c r="Z931" s="42"/>
    </row>
    <row r="932" ht="30.75" customHeight="1">
      <c r="A932" s="57" t="s">
        <v>2867</v>
      </c>
      <c r="B932" s="57" t="s">
        <v>185</v>
      </c>
      <c r="C932" s="57" t="s">
        <v>2898</v>
      </c>
      <c r="D932" s="57" t="s">
        <v>2899</v>
      </c>
      <c r="E932" s="57"/>
      <c r="F932" s="58">
        <v>23500.0</v>
      </c>
      <c r="G932" s="57" t="s">
        <v>251</v>
      </c>
      <c r="H932" s="59" t="s">
        <v>952</v>
      </c>
      <c r="I932" s="59" t="s">
        <v>953</v>
      </c>
      <c r="J932" s="61"/>
      <c r="K932" s="61"/>
      <c r="L932" s="42"/>
      <c r="M932" s="42"/>
      <c r="N932" s="42"/>
      <c r="O932" s="42"/>
      <c r="P932" s="42"/>
      <c r="Q932" s="42"/>
      <c r="R932" s="42"/>
      <c r="S932" s="42"/>
      <c r="T932" s="42"/>
      <c r="U932" s="42"/>
      <c r="V932" s="42"/>
      <c r="W932" s="42"/>
      <c r="X932" s="42"/>
      <c r="Y932" s="42"/>
      <c r="Z932" s="42"/>
    </row>
    <row r="933" ht="30.75" customHeight="1">
      <c r="A933" s="57" t="s">
        <v>2867</v>
      </c>
      <c r="B933" s="57" t="s">
        <v>185</v>
      </c>
      <c r="C933" s="57" t="s">
        <v>2900</v>
      </c>
      <c r="D933" s="57" t="s">
        <v>2901</v>
      </c>
      <c r="E933" s="57"/>
      <c r="F933" s="58">
        <v>21300.0</v>
      </c>
      <c r="G933" s="57" t="s">
        <v>251</v>
      </c>
      <c r="H933" s="59" t="s">
        <v>952</v>
      </c>
      <c r="I933" s="59" t="s">
        <v>953</v>
      </c>
      <c r="J933" s="61"/>
      <c r="K933" s="61"/>
      <c r="L933" s="42"/>
      <c r="M933" s="42"/>
      <c r="N933" s="42"/>
      <c r="O933" s="42"/>
      <c r="P933" s="42"/>
      <c r="Q933" s="42"/>
      <c r="R933" s="42"/>
      <c r="S933" s="42"/>
      <c r="T933" s="42"/>
      <c r="U933" s="42"/>
      <c r="V933" s="42"/>
      <c r="W933" s="42"/>
      <c r="X933" s="42"/>
      <c r="Y933" s="42"/>
      <c r="Z933" s="42"/>
    </row>
    <row r="934" ht="30.75" customHeight="1">
      <c r="A934" s="57" t="s">
        <v>2867</v>
      </c>
      <c r="B934" s="57" t="s">
        <v>185</v>
      </c>
      <c r="C934" s="57" t="s">
        <v>2902</v>
      </c>
      <c r="D934" s="57" t="s">
        <v>2903</v>
      </c>
      <c r="E934" s="57"/>
      <c r="F934" s="58">
        <v>22700.0</v>
      </c>
      <c r="G934" s="57" t="s">
        <v>251</v>
      </c>
      <c r="H934" s="59" t="s">
        <v>952</v>
      </c>
      <c r="I934" s="59" t="s">
        <v>953</v>
      </c>
      <c r="J934" s="61"/>
      <c r="K934" s="61"/>
      <c r="L934" s="42"/>
      <c r="M934" s="42"/>
      <c r="N934" s="42"/>
      <c r="O934" s="42"/>
      <c r="P934" s="42"/>
      <c r="Q934" s="42"/>
      <c r="R934" s="42"/>
      <c r="S934" s="42"/>
      <c r="T934" s="42"/>
      <c r="U934" s="42"/>
      <c r="V934" s="42"/>
      <c r="W934" s="42"/>
      <c r="X934" s="42"/>
      <c r="Y934" s="42"/>
      <c r="Z934" s="42"/>
    </row>
    <row r="935" ht="30.75" customHeight="1">
      <c r="A935" s="57" t="s">
        <v>2867</v>
      </c>
      <c r="B935" s="57" t="s">
        <v>185</v>
      </c>
      <c r="C935" s="57" t="s">
        <v>2904</v>
      </c>
      <c r="D935" s="57" t="s">
        <v>2905</v>
      </c>
      <c r="E935" s="57"/>
      <c r="F935" s="58">
        <v>31700.0</v>
      </c>
      <c r="G935" s="57" t="s">
        <v>251</v>
      </c>
      <c r="H935" s="59" t="s">
        <v>952</v>
      </c>
      <c r="I935" s="59" t="s">
        <v>953</v>
      </c>
      <c r="J935" s="61"/>
      <c r="K935" s="61"/>
      <c r="L935" s="42"/>
      <c r="M935" s="42"/>
      <c r="N935" s="42"/>
      <c r="O935" s="42"/>
      <c r="P935" s="42"/>
      <c r="Q935" s="42"/>
      <c r="R935" s="42"/>
      <c r="S935" s="42"/>
      <c r="T935" s="42"/>
      <c r="U935" s="42"/>
      <c r="V935" s="42"/>
      <c r="W935" s="42"/>
      <c r="X935" s="42"/>
      <c r="Y935" s="42"/>
      <c r="Z935" s="42"/>
    </row>
    <row r="936" ht="30.75" customHeight="1">
      <c r="A936" s="57" t="s">
        <v>2867</v>
      </c>
      <c r="B936" s="57" t="s">
        <v>185</v>
      </c>
      <c r="C936" s="57" t="s">
        <v>2906</v>
      </c>
      <c r="D936" s="57" t="s">
        <v>2907</v>
      </c>
      <c r="E936" s="57"/>
      <c r="F936" s="58">
        <v>37000.0</v>
      </c>
      <c r="G936" s="57" t="s">
        <v>251</v>
      </c>
      <c r="H936" s="59" t="s">
        <v>952</v>
      </c>
      <c r="I936" s="59" t="s">
        <v>953</v>
      </c>
      <c r="J936" s="61"/>
      <c r="K936" s="61"/>
      <c r="L936" s="42"/>
      <c r="M936" s="42"/>
      <c r="N936" s="42"/>
      <c r="O936" s="42"/>
      <c r="P936" s="42"/>
      <c r="Q936" s="42"/>
      <c r="R936" s="42"/>
      <c r="S936" s="42"/>
      <c r="T936" s="42"/>
      <c r="U936" s="42"/>
      <c r="V936" s="42"/>
      <c r="W936" s="42"/>
      <c r="X936" s="42"/>
      <c r="Y936" s="42"/>
      <c r="Z936" s="42"/>
    </row>
    <row r="937" ht="114.0" customHeight="1">
      <c r="A937" s="57" t="s">
        <v>2867</v>
      </c>
      <c r="B937" s="57" t="s">
        <v>185</v>
      </c>
      <c r="C937" s="57" t="s">
        <v>2908</v>
      </c>
      <c r="D937" s="57" t="s">
        <v>2909</v>
      </c>
      <c r="E937" s="57"/>
      <c r="F937" s="58">
        <v>2125000.0</v>
      </c>
      <c r="G937" s="57" t="s">
        <v>251</v>
      </c>
      <c r="H937" s="59" t="s">
        <v>594</v>
      </c>
      <c r="I937" s="59" t="s">
        <v>2910</v>
      </c>
      <c r="J937" s="61" t="s">
        <v>2911</v>
      </c>
      <c r="K937" s="67">
        <v>25294.0</v>
      </c>
      <c r="L937" s="42"/>
      <c r="M937" s="42"/>
      <c r="N937" s="42"/>
      <c r="O937" s="42"/>
      <c r="P937" s="42"/>
      <c r="Q937" s="42"/>
      <c r="R937" s="42"/>
      <c r="S937" s="42"/>
      <c r="T937" s="42"/>
      <c r="U937" s="42"/>
      <c r="V937" s="42"/>
      <c r="W937" s="42"/>
      <c r="X937" s="42"/>
      <c r="Y937" s="42"/>
      <c r="Z937" s="42"/>
    </row>
    <row r="938" ht="85.5" customHeight="1">
      <c r="A938" s="57" t="s">
        <v>2867</v>
      </c>
      <c r="B938" s="57" t="s">
        <v>185</v>
      </c>
      <c r="C938" s="57" t="s">
        <v>2912</v>
      </c>
      <c r="D938" s="57" t="s">
        <v>2913</v>
      </c>
      <c r="E938" s="57"/>
      <c r="F938" s="58">
        <v>110000.0</v>
      </c>
      <c r="G938" s="57" t="s">
        <v>251</v>
      </c>
      <c r="H938" s="59" t="s">
        <v>594</v>
      </c>
      <c r="I938" s="59" t="s">
        <v>2914</v>
      </c>
      <c r="J938" s="61" t="s">
        <v>2915</v>
      </c>
      <c r="K938" s="67">
        <v>26420.0</v>
      </c>
      <c r="L938" s="42"/>
      <c r="M938" s="42"/>
      <c r="N938" s="42"/>
      <c r="O938" s="42"/>
      <c r="P938" s="42"/>
      <c r="Q938" s="42"/>
      <c r="R938" s="42"/>
      <c r="S938" s="42"/>
      <c r="T938" s="42"/>
      <c r="U938" s="42"/>
      <c r="V938" s="42"/>
      <c r="W938" s="42"/>
      <c r="X938" s="42"/>
      <c r="Y938" s="42"/>
      <c r="Z938" s="42"/>
    </row>
    <row r="939" ht="30.75" customHeight="1">
      <c r="A939" s="52" t="s">
        <v>2916</v>
      </c>
      <c r="B939" s="52" t="s">
        <v>189</v>
      </c>
      <c r="C939" s="52" t="s">
        <v>190</v>
      </c>
      <c r="D939" s="52" t="s">
        <v>191</v>
      </c>
      <c r="E939" s="52"/>
      <c r="F939" s="62"/>
      <c r="G939" s="52"/>
      <c r="H939" s="63"/>
      <c r="I939" s="63"/>
      <c r="J939" s="54"/>
      <c r="K939" s="54"/>
      <c r="L939" s="56"/>
      <c r="M939" s="56"/>
      <c r="N939" s="56"/>
      <c r="O939" s="56"/>
      <c r="P939" s="56"/>
      <c r="Q939" s="56"/>
      <c r="R939" s="56"/>
      <c r="S939" s="56"/>
      <c r="T939" s="56"/>
      <c r="U939" s="56"/>
      <c r="V939" s="56"/>
      <c r="W939" s="56"/>
      <c r="X939" s="56"/>
      <c r="Y939" s="56"/>
      <c r="Z939" s="56"/>
    </row>
    <row r="940" ht="30.75" customHeight="1">
      <c r="A940" s="57" t="s">
        <v>2916</v>
      </c>
      <c r="B940" s="57" t="s">
        <v>189</v>
      </c>
      <c r="C940" s="57" t="s">
        <v>2917</v>
      </c>
      <c r="D940" s="57" t="s">
        <v>2918</v>
      </c>
      <c r="E940" s="57"/>
      <c r="F940" s="58">
        <v>24500.0</v>
      </c>
      <c r="G940" s="57" t="s">
        <v>251</v>
      </c>
      <c r="H940" s="59" t="s">
        <v>952</v>
      </c>
      <c r="I940" s="59" t="s">
        <v>953</v>
      </c>
      <c r="J940" s="61"/>
      <c r="K940" s="61"/>
      <c r="L940" s="42"/>
      <c r="M940" s="42"/>
      <c r="N940" s="42"/>
      <c r="O940" s="42"/>
      <c r="P940" s="42"/>
      <c r="Q940" s="42"/>
      <c r="R940" s="42"/>
      <c r="S940" s="42"/>
      <c r="T940" s="42"/>
      <c r="U940" s="42"/>
      <c r="V940" s="42"/>
      <c r="W940" s="42"/>
      <c r="X940" s="42"/>
      <c r="Y940" s="42"/>
      <c r="Z940" s="42"/>
    </row>
    <row r="941" ht="30.75" customHeight="1">
      <c r="A941" s="57" t="s">
        <v>2916</v>
      </c>
      <c r="B941" s="57" t="s">
        <v>189</v>
      </c>
      <c r="C941" s="57" t="s">
        <v>2919</v>
      </c>
      <c r="D941" s="57" t="s">
        <v>2920</v>
      </c>
      <c r="E941" s="57"/>
      <c r="F941" s="58">
        <v>59000.0</v>
      </c>
      <c r="G941" s="57" t="s">
        <v>251</v>
      </c>
      <c r="H941" s="59" t="s">
        <v>952</v>
      </c>
      <c r="I941" s="59" t="s">
        <v>953</v>
      </c>
      <c r="J941" s="61"/>
      <c r="K941" s="61"/>
      <c r="L941" s="42"/>
      <c r="M941" s="42"/>
      <c r="N941" s="42"/>
      <c r="O941" s="42"/>
      <c r="P941" s="42"/>
      <c r="Q941" s="42"/>
      <c r="R941" s="42"/>
      <c r="S941" s="42"/>
      <c r="T941" s="42"/>
      <c r="U941" s="42"/>
      <c r="V941" s="42"/>
      <c r="W941" s="42"/>
      <c r="X941" s="42"/>
      <c r="Y941" s="42"/>
      <c r="Z941" s="42"/>
    </row>
    <row r="942" ht="30.75" customHeight="1">
      <c r="A942" s="57" t="s">
        <v>2916</v>
      </c>
      <c r="B942" s="57" t="s">
        <v>189</v>
      </c>
      <c r="C942" s="57" t="s">
        <v>2921</v>
      </c>
      <c r="D942" s="57" t="s">
        <v>2922</v>
      </c>
      <c r="E942" s="57"/>
      <c r="F942" s="58">
        <v>21000.0</v>
      </c>
      <c r="G942" s="57" t="s">
        <v>251</v>
      </c>
      <c r="H942" s="59" t="s">
        <v>952</v>
      </c>
      <c r="I942" s="59" t="s">
        <v>953</v>
      </c>
      <c r="J942" s="61"/>
      <c r="K942" s="61"/>
      <c r="L942" s="42"/>
      <c r="M942" s="42"/>
      <c r="N942" s="42"/>
      <c r="O942" s="42"/>
      <c r="P942" s="42"/>
      <c r="Q942" s="42"/>
      <c r="R942" s="42"/>
      <c r="S942" s="42"/>
      <c r="T942" s="42"/>
      <c r="U942" s="42"/>
      <c r="V942" s="42"/>
      <c r="W942" s="42"/>
      <c r="X942" s="42"/>
      <c r="Y942" s="42"/>
      <c r="Z942" s="42"/>
    </row>
    <row r="943" ht="30.75" customHeight="1">
      <c r="A943" s="57" t="s">
        <v>2916</v>
      </c>
      <c r="B943" s="57" t="s">
        <v>189</v>
      </c>
      <c r="C943" s="57" t="s">
        <v>2923</v>
      </c>
      <c r="D943" s="57" t="s">
        <v>2924</v>
      </c>
      <c r="E943" s="57"/>
      <c r="F943" s="58">
        <v>36200.0</v>
      </c>
      <c r="G943" s="57" t="s">
        <v>251</v>
      </c>
      <c r="H943" s="59" t="s">
        <v>952</v>
      </c>
      <c r="I943" s="59" t="s">
        <v>953</v>
      </c>
      <c r="J943" s="61"/>
      <c r="K943" s="61"/>
      <c r="L943" s="42"/>
      <c r="M943" s="42"/>
      <c r="N943" s="42"/>
      <c r="O943" s="42"/>
      <c r="P943" s="42"/>
      <c r="Q943" s="42"/>
      <c r="R943" s="42"/>
      <c r="S943" s="42"/>
      <c r="T943" s="42"/>
      <c r="U943" s="42"/>
      <c r="V943" s="42"/>
      <c r="W943" s="42"/>
      <c r="X943" s="42"/>
      <c r="Y943" s="42"/>
      <c r="Z943" s="42"/>
    </row>
    <row r="944" ht="30.75" customHeight="1">
      <c r="A944" s="57" t="s">
        <v>2916</v>
      </c>
      <c r="B944" s="57" t="s">
        <v>189</v>
      </c>
      <c r="C944" s="57" t="s">
        <v>2925</v>
      </c>
      <c r="D944" s="57" t="s">
        <v>2926</v>
      </c>
      <c r="E944" s="57"/>
      <c r="F944" s="58">
        <v>10100.0</v>
      </c>
      <c r="G944" s="57" t="s">
        <v>251</v>
      </c>
      <c r="H944" s="59" t="s">
        <v>952</v>
      </c>
      <c r="I944" s="59" t="s">
        <v>953</v>
      </c>
      <c r="J944" s="61"/>
      <c r="K944" s="61"/>
      <c r="L944" s="42"/>
      <c r="M944" s="42"/>
      <c r="N944" s="42"/>
      <c r="O944" s="42"/>
      <c r="P944" s="42"/>
      <c r="Q944" s="42"/>
      <c r="R944" s="42"/>
      <c r="S944" s="42"/>
      <c r="T944" s="42"/>
      <c r="U944" s="42"/>
      <c r="V944" s="42"/>
      <c r="W944" s="42"/>
      <c r="X944" s="42"/>
      <c r="Y944" s="42"/>
      <c r="Z944" s="42"/>
    </row>
    <row r="945" ht="30.75" customHeight="1">
      <c r="A945" s="57" t="s">
        <v>2916</v>
      </c>
      <c r="B945" s="57" t="s">
        <v>189</v>
      </c>
      <c r="C945" s="57" t="s">
        <v>2927</v>
      </c>
      <c r="D945" s="57" t="s">
        <v>2928</v>
      </c>
      <c r="E945" s="57"/>
      <c r="F945" s="58">
        <v>15000.0</v>
      </c>
      <c r="G945" s="57" t="s">
        <v>251</v>
      </c>
      <c r="H945" s="59" t="s">
        <v>952</v>
      </c>
      <c r="I945" s="59" t="s">
        <v>953</v>
      </c>
      <c r="J945" s="61"/>
      <c r="K945" s="61"/>
      <c r="L945" s="42"/>
      <c r="M945" s="42"/>
      <c r="N945" s="42"/>
      <c r="O945" s="42"/>
      <c r="P945" s="42"/>
      <c r="Q945" s="42"/>
      <c r="R945" s="42"/>
      <c r="S945" s="42"/>
      <c r="T945" s="42"/>
      <c r="U945" s="42"/>
      <c r="V945" s="42"/>
      <c r="W945" s="42"/>
      <c r="X945" s="42"/>
      <c r="Y945" s="42"/>
      <c r="Z945" s="42"/>
    </row>
    <row r="946" ht="30.75" customHeight="1">
      <c r="A946" s="57" t="s">
        <v>2916</v>
      </c>
      <c r="B946" s="57" t="s">
        <v>189</v>
      </c>
      <c r="C946" s="57" t="s">
        <v>2929</v>
      </c>
      <c r="D946" s="57" t="s">
        <v>2930</v>
      </c>
      <c r="E946" s="57"/>
      <c r="F946" s="58">
        <v>18800.0</v>
      </c>
      <c r="G946" s="57" t="s">
        <v>251</v>
      </c>
      <c r="H946" s="59" t="s">
        <v>952</v>
      </c>
      <c r="I946" s="59" t="s">
        <v>953</v>
      </c>
      <c r="J946" s="61"/>
      <c r="K946" s="61"/>
      <c r="L946" s="42"/>
      <c r="M946" s="42"/>
      <c r="N946" s="42"/>
      <c r="O946" s="42"/>
      <c r="P946" s="42"/>
      <c r="Q946" s="42"/>
      <c r="R946" s="42"/>
      <c r="S946" s="42"/>
      <c r="T946" s="42"/>
      <c r="U946" s="42"/>
      <c r="V946" s="42"/>
      <c r="W946" s="42"/>
      <c r="X946" s="42"/>
      <c r="Y946" s="42"/>
      <c r="Z946" s="42"/>
    </row>
    <row r="947" ht="30.75" customHeight="1">
      <c r="A947" s="57" t="s">
        <v>2916</v>
      </c>
      <c r="B947" s="57" t="s">
        <v>189</v>
      </c>
      <c r="C947" s="57" t="s">
        <v>2931</v>
      </c>
      <c r="D947" s="57" t="s">
        <v>2932</v>
      </c>
      <c r="E947" s="57"/>
      <c r="F947" s="58">
        <v>25600.0</v>
      </c>
      <c r="G947" s="57" t="s">
        <v>251</v>
      </c>
      <c r="H947" s="59" t="s">
        <v>952</v>
      </c>
      <c r="I947" s="59" t="s">
        <v>953</v>
      </c>
      <c r="J947" s="61"/>
      <c r="K947" s="61"/>
      <c r="L947" s="42"/>
      <c r="M947" s="42"/>
      <c r="N947" s="42"/>
      <c r="O947" s="42"/>
      <c r="P947" s="42"/>
      <c r="Q947" s="42"/>
      <c r="R947" s="42"/>
      <c r="S947" s="42"/>
      <c r="T947" s="42"/>
      <c r="U947" s="42"/>
      <c r="V947" s="42"/>
      <c r="W947" s="42"/>
      <c r="X947" s="42"/>
      <c r="Y947" s="42"/>
      <c r="Z947" s="42"/>
    </row>
    <row r="948" ht="57.0" customHeight="1">
      <c r="A948" s="57" t="s">
        <v>2916</v>
      </c>
      <c r="B948" s="57" t="s">
        <v>189</v>
      </c>
      <c r="C948" s="57" t="s">
        <v>2933</v>
      </c>
      <c r="D948" s="57" t="s">
        <v>2934</v>
      </c>
      <c r="E948" s="57"/>
      <c r="F948" s="58">
        <v>6800.0</v>
      </c>
      <c r="G948" s="57" t="s">
        <v>251</v>
      </c>
      <c r="H948" s="59" t="s">
        <v>952</v>
      </c>
      <c r="I948" s="59" t="s">
        <v>953</v>
      </c>
      <c r="J948" s="61"/>
      <c r="K948" s="61"/>
      <c r="L948" s="42"/>
      <c r="M948" s="42"/>
      <c r="N948" s="42"/>
      <c r="O948" s="42"/>
      <c r="P948" s="42"/>
      <c r="Q948" s="42"/>
      <c r="R948" s="42"/>
      <c r="S948" s="42"/>
      <c r="T948" s="42"/>
      <c r="U948" s="42"/>
      <c r="V948" s="42"/>
      <c r="W948" s="42"/>
      <c r="X948" s="42"/>
      <c r="Y948" s="42"/>
      <c r="Z948" s="42"/>
    </row>
    <row r="949" ht="57.0" customHeight="1">
      <c r="A949" s="57" t="s">
        <v>2916</v>
      </c>
      <c r="B949" s="57" t="s">
        <v>189</v>
      </c>
      <c r="C949" s="57" t="s">
        <v>2935</v>
      </c>
      <c r="D949" s="57" t="s">
        <v>2936</v>
      </c>
      <c r="E949" s="57"/>
      <c r="F949" s="58">
        <v>7700.0</v>
      </c>
      <c r="G949" s="57" t="s">
        <v>251</v>
      </c>
      <c r="H949" s="59" t="s">
        <v>952</v>
      </c>
      <c r="I949" s="59" t="s">
        <v>953</v>
      </c>
      <c r="J949" s="61"/>
      <c r="K949" s="61"/>
      <c r="L949" s="42"/>
      <c r="M949" s="42"/>
      <c r="N949" s="42"/>
      <c r="O949" s="42"/>
      <c r="P949" s="42"/>
      <c r="Q949" s="42"/>
      <c r="R949" s="42"/>
      <c r="S949" s="42"/>
      <c r="T949" s="42"/>
      <c r="U949" s="42"/>
      <c r="V949" s="42"/>
      <c r="W949" s="42"/>
      <c r="X949" s="42"/>
      <c r="Y949" s="42"/>
      <c r="Z949" s="42"/>
    </row>
    <row r="950" ht="57.0" customHeight="1">
      <c r="A950" s="57" t="s">
        <v>2916</v>
      </c>
      <c r="B950" s="57" t="s">
        <v>189</v>
      </c>
      <c r="C950" s="57" t="s">
        <v>2937</v>
      </c>
      <c r="D950" s="57" t="s">
        <v>2938</v>
      </c>
      <c r="E950" s="57"/>
      <c r="F950" s="58">
        <v>14200.0</v>
      </c>
      <c r="G950" s="57" t="s">
        <v>251</v>
      </c>
      <c r="H950" s="59" t="s">
        <v>952</v>
      </c>
      <c r="I950" s="59" t="s">
        <v>953</v>
      </c>
      <c r="J950" s="61"/>
      <c r="K950" s="61"/>
      <c r="L950" s="42"/>
      <c r="M950" s="42"/>
      <c r="N950" s="42"/>
      <c r="O950" s="42"/>
      <c r="P950" s="42"/>
      <c r="Q950" s="42"/>
      <c r="R950" s="42"/>
      <c r="S950" s="42"/>
      <c r="T950" s="42"/>
      <c r="U950" s="42"/>
      <c r="V950" s="42"/>
      <c r="W950" s="42"/>
      <c r="X950" s="42"/>
      <c r="Y950" s="42"/>
      <c r="Z950" s="42"/>
    </row>
    <row r="951" ht="57.0" customHeight="1">
      <c r="A951" s="57" t="s">
        <v>2916</v>
      </c>
      <c r="B951" s="57" t="s">
        <v>189</v>
      </c>
      <c r="C951" s="57" t="s">
        <v>2939</v>
      </c>
      <c r="D951" s="57" t="s">
        <v>2940</v>
      </c>
      <c r="E951" s="57"/>
      <c r="F951" s="58">
        <v>63400.0</v>
      </c>
      <c r="G951" s="57" t="s">
        <v>251</v>
      </c>
      <c r="H951" s="59" t="s">
        <v>952</v>
      </c>
      <c r="I951" s="59" t="s">
        <v>953</v>
      </c>
      <c r="J951" s="61"/>
      <c r="K951" s="61"/>
      <c r="L951" s="42"/>
      <c r="M951" s="42"/>
      <c r="N951" s="42"/>
      <c r="O951" s="42"/>
      <c r="P951" s="42"/>
      <c r="Q951" s="42"/>
      <c r="R951" s="42"/>
      <c r="S951" s="42"/>
      <c r="T951" s="42"/>
      <c r="U951" s="42"/>
      <c r="V951" s="42"/>
      <c r="W951" s="42"/>
      <c r="X951" s="42"/>
      <c r="Y951" s="42"/>
      <c r="Z951" s="42"/>
    </row>
    <row r="952" ht="57.0" customHeight="1">
      <c r="A952" s="57" t="s">
        <v>2916</v>
      </c>
      <c r="B952" s="57" t="s">
        <v>189</v>
      </c>
      <c r="C952" s="57" t="s">
        <v>2941</v>
      </c>
      <c r="D952" s="57" t="s">
        <v>2942</v>
      </c>
      <c r="E952" s="57"/>
      <c r="F952" s="58">
        <v>115000.0</v>
      </c>
      <c r="G952" s="57" t="s">
        <v>251</v>
      </c>
      <c r="H952" s="59" t="s">
        <v>952</v>
      </c>
      <c r="I952" s="59" t="s">
        <v>953</v>
      </c>
      <c r="J952" s="61"/>
      <c r="K952" s="61"/>
      <c r="L952" s="42"/>
      <c r="M952" s="42"/>
      <c r="N952" s="42"/>
      <c r="O952" s="42"/>
      <c r="P952" s="42"/>
      <c r="Q952" s="42"/>
      <c r="R952" s="42"/>
      <c r="S952" s="42"/>
      <c r="T952" s="42"/>
      <c r="U952" s="42"/>
      <c r="V952" s="42"/>
      <c r="W952" s="42"/>
      <c r="X952" s="42"/>
      <c r="Y952" s="42"/>
      <c r="Z952" s="42"/>
    </row>
    <row r="953" ht="57.0" customHeight="1">
      <c r="A953" s="57" t="s">
        <v>2916</v>
      </c>
      <c r="B953" s="57" t="s">
        <v>189</v>
      </c>
      <c r="C953" s="57" t="s">
        <v>2943</v>
      </c>
      <c r="D953" s="57" t="s">
        <v>2944</v>
      </c>
      <c r="E953" s="57"/>
      <c r="F953" s="58">
        <v>9700.0</v>
      </c>
      <c r="G953" s="57" t="s">
        <v>251</v>
      </c>
      <c r="H953" s="59" t="s">
        <v>952</v>
      </c>
      <c r="I953" s="59" t="s">
        <v>953</v>
      </c>
      <c r="J953" s="61"/>
      <c r="K953" s="61"/>
      <c r="L953" s="42"/>
      <c r="M953" s="42"/>
      <c r="N953" s="42"/>
      <c r="O953" s="42"/>
      <c r="P953" s="42"/>
      <c r="Q953" s="42"/>
      <c r="R953" s="42"/>
      <c r="S953" s="42"/>
      <c r="T953" s="42"/>
      <c r="U953" s="42"/>
      <c r="V953" s="42"/>
      <c r="W953" s="42"/>
      <c r="X953" s="42"/>
      <c r="Y953" s="42"/>
      <c r="Z953" s="42"/>
    </row>
    <row r="954" ht="57.0" customHeight="1">
      <c r="A954" s="57" t="s">
        <v>2916</v>
      </c>
      <c r="B954" s="57" t="s">
        <v>189</v>
      </c>
      <c r="C954" s="57" t="s">
        <v>2945</v>
      </c>
      <c r="D954" s="57" t="s">
        <v>2946</v>
      </c>
      <c r="E954" s="57"/>
      <c r="F954" s="58">
        <v>17200.0</v>
      </c>
      <c r="G954" s="57" t="s">
        <v>251</v>
      </c>
      <c r="H954" s="59" t="s">
        <v>952</v>
      </c>
      <c r="I954" s="59" t="s">
        <v>953</v>
      </c>
      <c r="J954" s="61"/>
      <c r="K954" s="61"/>
      <c r="L954" s="42"/>
      <c r="M954" s="42"/>
      <c r="N954" s="42"/>
      <c r="O954" s="42"/>
      <c r="P954" s="42"/>
      <c r="Q954" s="42"/>
      <c r="R954" s="42"/>
      <c r="S954" s="42"/>
      <c r="T954" s="42"/>
      <c r="U954" s="42"/>
      <c r="V954" s="42"/>
      <c r="W954" s="42"/>
      <c r="X954" s="42"/>
      <c r="Y954" s="42"/>
      <c r="Z954" s="42"/>
    </row>
    <row r="955" ht="57.0" customHeight="1">
      <c r="A955" s="57" t="s">
        <v>2916</v>
      </c>
      <c r="B955" s="57" t="s">
        <v>189</v>
      </c>
      <c r="C955" s="57" t="s">
        <v>2947</v>
      </c>
      <c r="D955" s="57" t="s">
        <v>2948</v>
      </c>
      <c r="E955" s="57"/>
      <c r="F955" s="58">
        <v>38000.0</v>
      </c>
      <c r="G955" s="57" t="s">
        <v>251</v>
      </c>
      <c r="H955" s="59" t="s">
        <v>952</v>
      </c>
      <c r="I955" s="59" t="s">
        <v>953</v>
      </c>
      <c r="J955" s="61"/>
      <c r="K955" s="61"/>
      <c r="L955" s="42"/>
      <c r="M955" s="42"/>
      <c r="N955" s="42"/>
      <c r="O955" s="42"/>
      <c r="P955" s="42"/>
      <c r="Q955" s="42"/>
      <c r="R955" s="42"/>
      <c r="S955" s="42"/>
      <c r="T955" s="42"/>
      <c r="U955" s="42"/>
      <c r="V955" s="42"/>
      <c r="W955" s="42"/>
      <c r="X955" s="42"/>
      <c r="Y955" s="42"/>
      <c r="Z955" s="42"/>
    </row>
    <row r="956" ht="30.75" customHeight="1">
      <c r="A956" s="57" t="s">
        <v>2916</v>
      </c>
      <c r="B956" s="57" t="s">
        <v>189</v>
      </c>
      <c r="C956" s="57" t="s">
        <v>2949</v>
      </c>
      <c r="D956" s="57" t="s">
        <v>2950</v>
      </c>
      <c r="E956" s="57"/>
      <c r="F956" s="58">
        <v>105000.0</v>
      </c>
      <c r="G956" s="57" t="s">
        <v>251</v>
      </c>
      <c r="H956" s="59" t="s">
        <v>952</v>
      </c>
      <c r="I956" s="59" t="s">
        <v>953</v>
      </c>
      <c r="J956" s="61"/>
      <c r="K956" s="61"/>
      <c r="L956" s="42"/>
      <c r="M956" s="42"/>
      <c r="N956" s="42"/>
      <c r="O956" s="42"/>
      <c r="P956" s="42"/>
      <c r="Q956" s="42"/>
      <c r="R956" s="42"/>
      <c r="S956" s="42"/>
      <c r="T956" s="42"/>
      <c r="U956" s="42"/>
      <c r="V956" s="42"/>
      <c r="W956" s="42"/>
      <c r="X956" s="42"/>
      <c r="Y956" s="42"/>
      <c r="Z956" s="42"/>
    </row>
    <row r="957" ht="30.75" customHeight="1">
      <c r="A957" s="57" t="s">
        <v>2916</v>
      </c>
      <c r="B957" s="57" t="s">
        <v>189</v>
      </c>
      <c r="C957" s="57" t="s">
        <v>2951</v>
      </c>
      <c r="D957" s="57" t="s">
        <v>2952</v>
      </c>
      <c r="E957" s="57"/>
      <c r="F957" s="58">
        <v>405000.0</v>
      </c>
      <c r="G957" s="57" t="s">
        <v>512</v>
      </c>
      <c r="H957" s="59" t="s">
        <v>952</v>
      </c>
      <c r="I957" s="59" t="s">
        <v>953</v>
      </c>
      <c r="J957" s="61"/>
      <c r="K957" s="61"/>
      <c r="L957" s="42"/>
      <c r="M957" s="42"/>
      <c r="N957" s="42"/>
      <c r="O957" s="42"/>
      <c r="P957" s="42"/>
      <c r="Q957" s="42"/>
      <c r="R957" s="42"/>
      <c r="S957" s="42"/>
      <c r="T957" s="42"/>
      <c r="U957" s="42"/>
      <c r="V957" s="42"/>
      <c r="W957" s="42"/>
      <c r="X957" s="42"/>
      <c r="Y957" s="42"/>
      <c r="Z957" s="42"/>
    </row>
    <row r="958" ht="30.75" customHeight="1">
      <c r="A958" s="57" t="s">
        <v>2916</v>
      </c>
      <c r="B958" s="57" t="s">
        <v>189</v>
      </c>
      <c r="C958" s="57" t="s">
        <v>2953</v>
      </c>
      <c r="D958" s="57" t="s">
        <v>2954</v>
      </c>
      <c r="E958" s="57"/>
      <c r="F958" s="58">
        <v>578000.0</v>
      </c>
      <c r="G958" s="57" t="s">
        <v>512</v>
      </c>
      <c r="H958" s="59" t="s">
        <v>952</v>
      </c>
      <c r="I958" s="59" t="s">
        <v>953</v>
      </c>
      <c r="J958" s="61"/>
      <c r="K958" s="61"/>
      <c r="L958" s="42"/>
      <c r="M958" s="42"/>
      <c r="N958" s="42"/>
      <c r="O958" s="42"/>
      <c r="P958" s="42"/>
      <c r="Q958" s="42"/>
      <c r="R958" s="42"/>
      <c r="S958" s="42"/>
      <c r="T958" s="42"/>
      <c r="U958" s="42"/>
      <c r="V958" s="42"/>
      <c r="W958" s="42"/>
      <c r="X958" s="42"/>
      <c r="Y958" s="42"/>
      <c r="Z958" s="42"/>
    </row>
    <row r="959" ht="30.75" customHeight="1">
      <c r="A959" s="57" t="s">
        <v>2916</v>
      </c>
      <c r="B959" s="57" t="s">
        <v>189</v>
      </c>
      <c r="C959" s="57" t="s">
        <v>2955</v>
      </c>
      <c r="D959" s="57" t="s">
        <v>2956</v>
      </c>
      <c r="E959" s="57"/>
      <c r="F959" s="58">
        <v>1287000.0</v>
      </c>
      <c r="G959" s="57" t="s">
        <v>512</v>
      </c>
      <c r="H959" s="59" t="s">
        <v>952</v>
      </c>
      <c r="I959" s="59" t="s">
        <v>953</v>
      </c>
      <c r="J959" s="61"/>
      <c r="K959" s="61"/>
      <c r="L959" s="42"/>
      <c r="M959" s="42"/>
      <c r="N959" s="42"/>
      <c r="O959" s="42"/>
      <c r="P959" s="42"/>
      <c r="Q959" s="42"/>
      <c r="R959" s="42"/>
      <c r="S959" s="42"/>
      <c r="T959" s="42"/>
      <c r="U959" s="42"/>
      <c r="V959" s="42"/>
      <c r="W959" s="42"/>
      <c r="X959" s="42"/>
      <c r="Y959" s="42"/>
      <c r="Z959" s="42"/>
    </row>
    <row r="960" ht="30.75" customHeight="1">
      <c r="A960" s="57" t="s">
        <v>2916</v>
      </c>
      <c r="B960" s="57" t="s">
        <v>189</v>
      </c>
      <c r="C960" s="57" t="s">
        <v>2957</v>
      </c>
      <c r="D960" s="57" t="s">
        <v>2958</v>
      </c>
      <c r="E960" s="57"/>
      <c r="F960" s="58">
        <v>70000.0</v>
      </c>
      <c r="G960" s="57" t="s">
        <v>512</v>
      </c>
      <c r="H960" s="59" t="s">
        <v>952</v>
      </c>
      <c r="I960" s="59" t="s">
        <v>953</v>
      </c>
      <c r="J960" s="61"/>
      <c r="K960" s="61"/>
      <c r="L960" s="42"/>
      <c r="M960" s="42"/>
      <c r="N960" s="42"/>
      <c r="O960" s="42"/>
      <c r="P960" s="42"/>
      <c r="Q960" s="42"/>
      <c r="R960" s="42"/>
      <c r="S960" s="42"/>
      <c r="T960" s="42"/>
      <c r="U960" s="42"/>
      <c r="V960" s="42"/>
      <c r="W960" s="42"/>
      <c r="X960" s="42"/>
      <c r="Y960" s="42"/>
      <c r="Z960" s="42"/>
    </row>
    <row r="961" ht="30.75" customHeight="1">
      <c r="A961" s="57" t="s">
        <v>2916</v>
      </c>
      <c r="B961" s="57" t="s">
        <v>189</v>
      </c>
      <c r="C961" s="57" t="s">
        <v>2959</v>
      </c>
      <c r="D961" s="57" t="s">
        <v>2960</v>
      </c>
      <c r="E961" s="57"/>
      <c r="F961" s="58">
        <v>79600.0</v>
      </c>
      <c r="G961" s="57" t="s">
        <v>512</v>
      </c>
      <c r="H961" s="59" t="s">
        <v>952</v>
      </c>
      <c r="I961" s="59" t="s">
        <v>953</v>
      </c>
      <c r="J961" s="61"/>
      <c r="K961" s="61"/>
      <c r="L961" s="42"/>
      <c r="M961" s="42"/>
      <c r="N961" s="42"/>
      <c r="O961" s="42"/>
      <c r="P961" s="42"/>
      <c r="Q961" s="42"/>
      <c r="R961" s="42"/>
      <c r="S961" s="42"/>
      <c r="T961" s="42"/>
      <c r="U961" s="42"/>
      <c r="V961" s="42"/>
      <c r="W961" s="42"/>
      <c r="X961" s="42"/>
      <c r="Y961" s="42"/>
      <c r="Z961" s="42"/>
    </row>
    <row r="962" ht="57.0" customHeight="1">
      <c r="A962" s="57" t="s">
        <v>2916</v>
      </c>
      <c r="B962" s="57" t="s">
        <v>189</v>
      </c>
      <c r="C962" s="57" t="s">
        <v>2961</v>
      </c>
      <c r="D962" s="57" t="s">
        <v>2962</v>
      </c>
      <c r="E962" s="57"/>
      <c r="F962" s="58">
        <v>3500.0</v>
      </c>
      <c r="G962" s="57" t="s">
        <v>467</v>
      </c>
      <c r="H962" s="59" t="s">
        <v>594</v>
      </c>
      <c r="I962" s="59" t="s">
        <v>2963</v>
      </c>
      <c r="J962" s="61" t="s">
        <v>2964</v>
      </c>
      <c r="K962" s="67">
        <v>25204.0</v>
      </c>
      <c r="L962" s="42"/>
      <c r="M962" s="42"/>
      <c r="N962" s="42"/>
      <c r="O962" s="42"/>
      <c r="P962" s="42"/>
      <c r="Q962" s="42"/>
      <c r="R962" s="42"/>
      <c r="S962" s="42"/>
      <c r="T962" s="42"/>
      <c r="U962" s="42"/>
      <c r="V962" s="42"/>
      <c r="W962" s="42"/>
      <c r="X962" s="42"/>
      <c r="Y962" s="42"/>
      <c r="Z962" s="42"/>
    </row>
    <row r="963" ht="85.5" customHeight="1">
      <c r="A963" s="57" t="s">
        <v>2916</v>
      </c>
      <c r="B963" s="57" t="s">
        <v>189</v>
      </c>
      <c r="C963" s="57" t="s">
        <v>2965</v>
      </c>
      <c r="D963" s="57" t="s">
        <v>2966</v>
      </c>
      <c r="E963" s="57"/>
      <c r="F963" s="58">
        <v>5500.0</v>
      </c>
      <c r="G963" s="57" t="s">
        <v>467</v>
      </c>
      <c r="H963" s="59" t="s">
        <v>594</v>
      </c>
      <c r="I963" s="59" t="s">
        <v>2963</v>
      </c>
      <c r="J963" s="61" t="s">
        <v>2964</v>
      </c>
      <c r="K963" s="67">
        <v>25204.0</v>
      </c>
      <c r="L963" s="42"/>
      <c r="M963" s="42"/>
      <c r="N963" s="42"/>
      <c r="O963" s="42"/>
      <c r="P963" s="42"/>
      <c r="Q963" s="42"/>
      <c r="R963" s="42"/>
      <c r="S963" s="42"/>
      <c r="T963" s="42"/>
      <c r="U963" s="42"/>
      <c r="V963" s="42"/>
      <c r="W963" s="42"/>
      <c r="X963" s="42"/>
      <c r="Y963" s="42"/>
      <c r="Z963" s="42"/>
    </row>
    <row r="964" ht="85.5" customHeight="1">
      <c r="A964" s="57" t="s">
        <v>2916</v>
      </c>
      <c r="B964" s="57" t="s">
        <v>189</v>
      </c>
      <c r="C964" s="57" t="s">
        <v>2967</v>
      </c>
      <c r="D964" s="57" t="s">
        <v>2968</v>
      </c>
      <c r="E964" s="57"/>
      <c r="F964" s="58">
        <v>1850000.0</v>
      </c>
      <c r="G964" s="57" t="s">
        <v>251</v>
      </c>
      <c r="H964" s="59" t="s">
        <v>594</v>
      </c>
      <c r="I964" s="59" t="s">
        <v>2910</v>
      </c>
      <c r="J964" s="61" t="s">
        <v>2911</v>
      </c>
      <c r="K964" s="67">
        <v>25294.0</v>
      </c>
      <c r="L964" s="42"/>
      <c r="M964" s="42"/>
      <c r="N964" s="42"/>
      <c r="O964" s="42"/>
      <c r="P964" s="42"/>
      <c r="Q964" s="42"/>
      <c r="R964" s="42"/>
      <c r="S964" s="42"/>
      <c r="T964" s="42"/>
      <c r="U964" s="42"/>
      <c r="V964" s="42"/>
      <c r="W964" s="42"/>
      <c r="X964" s="42"/>
      <c r="Y964" s="42"/>
      <c r="Z964" s="42"/>
    </row>
    <row r="965" ht="30.75" customHeight="1">
      <c r="A965" s="57" t="s">
        <v>2916</v>
      </c>
      <c r="B965" s="57" t="s">
        <v>189</v>
      </c>
      <c r="C965" s="57" t="s">
        <v>2969</v>
      </c>
      <c r="D965" s="57" t="s">
        <v>2970</v>
      </c>
      <c r="E965" s="57" t="s">
        <v>2971</v>
      </c>
      <c r="F965" s="58">
        <v>55000.0</v>
      </c>
      <c r="G965" s="57" t="s">
        <v>251</v>
      </c>
      <c r="H965" s="59" t="s">
        <v>594</v>
      </c>
      <c r="I965" s="59" t="s">
        <v>2972</v>
      </c>
      <c r="J965" s="61" t="s">
        <v>2973</v>
      </c>
      <c r="K965" s="67">
        <v>25600.0</v>
      </c>
      <c r="L965" s="42"/>
      <c r="M965" s="42"/>
      <c r="N965" s="42"/>
      <c r="O965" s="42"/>
      <c r="P965" s="42"/>
      <c r="Q965" s="42"/>
      <c r="R965" s="42"/>
      <c r="S965" s="42"/>
      <c r="T965" s="42"/>
      <c r="U965" s="42"/>
      <c r="V965" s="42"/>
      <c r="W965" s="42"/>
      <c r="X965" s="42"/>
      <c r="Y965" s="42"/>
      <c r="Z965" s="42"/>
    </row>
    <row r="966" ht="30.75" customHeight="1">
      <c r="A966" s="57" t="s">
        <v>2916</v>
      </c>
      <c r="B966" s="57" t="s">
        <v>189</v>
      </c>
      <c r="C966" s="57" t="s">
        <v>2974</v>
      </c>
      <c r="D966" s="57" t="s">
        <v>2975</v>
      </c>
      <c r="E966" s="57"/>
      <c r="F966" s="58">
        <v>198000.0</v>
      </c>
      <c r="G966" s="57" t="s">
        <v>467</v>
      </c>
      <c r="H966" s="59" t="s">
        <v>594</v>
      </c>
      <c r="I966" s="59" t="s">
        <v>2972</v>
      </c>
      <c r="J966" s="61" t="s">
        <v>2973</v>
      </c>
      <c r="K966" s="67">
        <v>25600.0</v>
      </c>
      <c r="L966" s="42"/>
      <c r="M966" s="42"/>
      <c r="N966" s="42"/>
      <c r="O966" s="42"/>
      <c r="P966" s="42"/>
      <c r="Q966" s="42"/>
      <c r="R966" s="42"/>
      <c r="S966" s="42"/>
      <c r="T966" s="42"/>
      <c r="U966" s="42"/>
      <c r="V966" s="42"/>
      <c r="W966" s="42"/>
      <c r="X966" s="42"/>
      <c r="Y966" s="42"/>
      <c r="Z966" s="42"/>
    </row>
    <row r="967" ht="85.5" customHeight="1">
      <c r="A967" s="57" t="s">
        <v>2916</v>
      </c>
      <c r="B967" s="57" t="s">
        <v>189</v>
      </c>
      <c r="C967" s="57" t="s">
        <v>2976</v>
      </c>
      <c r="D967" s="57" t="s">
        <v>2977</v>
      </c>
      <c r="E967" s="57"/>
      <c r="F967" s="58">
        <v>231000.0</v>
      </c>
      <c r="G967" s="57" t="s">
        <v>467</v>
      </c>
      <c r="H967" s="59" t="s">
        <v>594</v>
      </c>
      <c r="I967" s="59" t="s">
        <v>2972</v>
      </c>
      <c r="J967" s="61" t="s">
        <v>2973</v>
      </c>
      <c r="K967" s="67">
        <v>25600.0</v>
      </c>
      <c r="L967" s="42"/>
      <c r="M967" s="42"/>
      <c r="N967" s="42"/>
      <c r="O967" s="42"/>
      <c r="P967" s="42"/>
      <c r="Q967" s="42"/>
      <c r="R967" s="42"/>
      <c r="S967" s="42"/>
      <c r="T967" s="42"/>
      <c r="U967" s="42"/>
      <c r="V967" s="42"/>
      <c r="W967" s="42"/>
      <c r="X967" s="42"/>
      <c r="Y967" s="42"/>
      <c r="Z967" s="42"/>
    </row>
    <row r="968" ht="114.0" customHeight="1">
      <c r="A968" s="57" t="s">
        <v>2916</v>
      </c>
      <c r="B968" s="57" t="s">
        <v>189</v>
      </c>
      <c r="C968" s="57" t="s">
        <v>2978</v>
      </c>
      <c r="D968" s="57" t="s">
        <v>2979</v>
      </c>
      <c r="E968" s="57"/>
      <c r="F968" s="58">
        <v>1970000.0</v>
      </c>
      <c r="G968" s="57" t="s">
        <v>251</v>
      </c>
      <c r="H968" s="59" t="s">
        <v>594</v>
      </c>
      <c r="I968" s="59" t="s">
        <v>2980</v>
      </c>
      <c r="J968" s="61" t="s">
        <v>2981</v>
      </c>
      <c r="K968" s="67">
        <v>25628.0</v>
      </c>
      <c r="L968" s="42"/>
      <c r="M968" s="42"/>
      <c r="N968" s="42"/>
      <c r="O968" s="42"/>
      <c r="P968" s="42"/>
      <c r="Q968" s="42"/>
      <c r="R968" s="42"/>
      <c r="S968" s="42"/>
      <c r="T968" s="42"/>
      <c r="U968" s="42"/>
      <c r="V968" s="42"/>
      <c r="W968" s="42"/>
      <c r="X968" s="42"/>
      <c r="Y968" s="42"/>
      <c r="Z968" s="42"/>
    </row>
    <row r="969" ht="85.5" customHeight="1">
      <c r="A969" s="57" t="s">
        <v>2916</v>
      </c>
      <c r="B969" s="57" t="s">
        <v>189</v>
      </c>
      <c r="C969" s="57" t="s">
        <v>2982</v>
      </c>
      <c r="D969" s="57" t="s">
        <v>2983</v>
      </c>
      <c r="E969" s="57"/>
      <c r="F969" s="58">
        <v>6600.0</v>
      </c>
      <c r="G969" s="57" t="s">
        <v>2984</v>
      </c>
      <c r="H969" s="59" t="s">
        <v>594</v>
      </c>
      <c r="I969" s="59" t="s">
        <v>2985</v>
      </c>
      <c r="J969" s="61" t="s">
        <v>2986</v>
      </c>
      <c r="K969" s="67">
        <v>25873.0</v>
      </c>
      <c r="L969" s="42"/>
      <c r="M969" s="42"/>
      <c r="N969" s="42"/>
      <c r="O969" s="42"/>
      <c r="P969" s="42"/>
      <c r="Q969" s="42"/>
      <c r="R969" s="42"/>
      <c r="S969" s="42"/>
      <c r="T969" s="42"/>
      <c r="U969" s="42"/>
      <c r="V969" s="42"/>
      <c r="W969" s="42"/>
      <c r="X969" s="42"/>
      <c r="Y969" s="42"/>
      <c r="Z969" s="42"/>
    </row>
    <row r="970" ht="114.0" customHeight="1">
      <c r="A970" s="57" t="s">
        <v>2916</v>
      </c>
      <c r="B970" s="57" t="s">
        <v>189</v>
      </c>
      <c r="C970" s="57" t="s">
        <v>2987</v>
      </c>
      <c r="D970" s="57" t="s">
        <v>2988</v>
      </c>
      <c r="E970" s="57"/>
      <c r="F970" s="58">
        <v>7100000.0</v>
      </c>
      <c r="G970" s="57" t="s">
        <v>251</v>
      </c>
      <c r="H970" s="59" t="s">
        <v>594</v>
      </c>
      <c r="I970" s="59" t="s">
        <v>2989</v>
      </c>
      <c r="J970" s="61" t="s">
        <v>2990</v>
      </c>
      <c r="K970" s="67">
        <v>25477.0</v>
      </c>
      <c r="L970" s="42"/>
      <c r="M970" s="42"/>
      <c r="N970" s="42"/>
      <c r="O970" s="42"/>
      <c r="P970" s="42"/>
      <c r="Q970" s="42"/>
      <c r="R970" s="42"/>
      <c r="S970" s="42"/>
      <c r="T970" s="42"/>
      <c r="U970" s="42"/>
      <c r="V970" s="42"/>
      <c r="W970" s="42"/>
      <c r="X970" s="42"/>
      <c r="Y970" s="42"/>
      <c r="Z970" s="42"/>
    </row>
    <row r="971" ht="114.0" customHeight="1">
      <c r="A971" s="57" t="s">
        <v>2916</v>
      </c>
      <c r="B971" s="57" t="s">
        <v>189</v>
      </c>
      <c r="C971" s="57" t="s">
        <v>2991</v>
      </c>
      <c r="D971" s="57" t="s">
        <v>2992</v>
      </c>
      <c r="E971" s="57"/>
      <c r="F971" s="58">
        <v>1.0617E7</v>
      </c>
      <c r="G971" s="57" t="s">
        <v>251</v>
      </c>
      <c r="H971" s="59" t="s">
        <v>594</v>
      </c>
      <c r="I971" s="59" t="s">
        <v>2993</v>
      </c>
      <c r="J971" s="61" t="s">
        <v>2990</v>
      </c>
      <c r="K971" s="67">
        <v>25477.0</v>
      </c>
      <c r="L971" s="42"/>
      <c r="M971" s="42"/>
      <c r="N971" s="42"/>
      <c r="O971" s="42"/>
      <c r="P971" s="42"/>
      <c r="Q971" s="42"/>
      <c r="R971" s="42"/>
      <c r="S971" s="42"/>
      <c r="T971" s="42"/>
      <c r="U971" s="42"/>
      <c r="V971" s="42"/>
      <c r="W971" s="42"/>
      <c r="X971" s="42"/>
      <c r="Y971" s="42"/>
      <c r="Z971" s="42"/>
    </row>
    <row r="972" ht="114.0" customHeight="1">
      <c r="A972" s="57" t="s">
        <v>2916</v>
      </c>
      <c r="B972" s="57" t="s">
        <v>189</v>
      </c>
      <c r="C972" s="57" t="s">
        <v>2994</v>
      </c>
      <c r="D972" s="57" t="s">
        <v>2995</v>
      </c>
      <c r="E972" s="57"/>
      <c r="F972" s="58">
        <v>1.0617E7</v>
      </c>
      <c r="G972" s="57" t="s">
        <v>251</v>
      </c>
      <c r="H972" s="59" t="s">
        <v>594</v>
      </c>
      <c r="I972" s="59" t="s">
        <v>2993</v>
      </c>
      <c r="J972" s="61" t="s">
        <v>2990</v>
      </c>
      <c r="K972" s="67">
        <v>25477.0</v>
      </c>
      <c r="L972" s="42"/>
      <c r="M972" s="42"/>
      <c r="N972" s="42"/>
      <c r="O972" s="42"/>
      <c r="P972" s="42"/>
      <c r="Q972" s="42"/>
      <c r="R972" s="42"/>
      <c r="S972" s="42"/>
      <c r="T972" s="42"/>
      <c r="U972" s="42"/>
      <c r="V972" s="42"/>
      <c r="W972" s="42"/>
      <c r="X972" s="42"/>
      <c r="Y972" s="42"/>
      <c r="Z972" s="42"/>
    </row>
    <row r="973" ht="57.0" customHeight="1">
      <c r="A973" s="57" t="s">
        <v>2916</v>
      </c>
      <c r="B973" s="57" t="s">
        <v>189</v>
      </c>
      <c r="C973" s="57" t="s">
        <v>2996</v>
      </c>
      <c r="D973" s="57" t="s">
        <v>2997</v>
      </c>
      <c r="E973" s="57"/>
      <c r="F973" s="58">
        <v>3700000.0</v>
      </c>
      <c r="G973" s="57" t="s">
        <v>512</v>
      </c>
      <c r="H973" s="59" t="s">
        <v>594</v>
      </c>
      <c r="I973" s="59" t="s">
        <v>2998</v>
      </c>
      <c r="J973" s="61" t="s">
        <v>2999</v>
      </c>
      <c r="K973" s="67">
        <v>26573.0</v>
      </c>
      <c r="L973" s="42"/>
      <c r="M973" s="42"/>
      <c r="N973" s="42"/>
      <c r="O973" s="42"/>
      <c r="P973" s="42"/>
      <c r="Q973" s="42"/>
      <c r="R973" s="42"/>
      <c r="S973" s="42"/>
      <c r="T973" s="42"/>
      <c r="U973" s="42"/>
      <c r="V973" s="42"/>
      <c r="W973" s="42"/>
      <c r="X973" s="42"/>
      <c r="Y973" s="42"/>
      <c r="Z973" s="42"/>
    </row>
    <row r="974" ht="171.0" customHeight="1">
      <c r="A974" s="57" t="s">
        <v>2916</v>
      </c>
      <c r="B974" s="57" t="s">
        <v>189</v>
      </c>
      <c r="C974" s="57" t="s">
        <v>3000</v>
      </c>
      <c r="D974" s="57" t="s">
        <v>3001</v>
      </c>
      <c r="E974" s="57"/>
      <c r="F974" s="58">
        <v>4657000.0</v>
      </c>
      <c r="G974" s="57" t="s">
        <v>467</v>
      </c>
      <c r="H974" s="59" t="s">
        <v>594</v>
      </c>
      <c r="I974" s="59" t="s">
        <v>595</v>
      </c>
      <c r="J974" s="57" t="s">
        <v>3002</v>
      </c>
      <c r="K974" s="67">
        <v>26634.0</v>
      </c>
      <c r="L974" s="42"/>
      <c r="M974" s="42"/>
      <c r="N974" s="42"/>
      <c r="O974" s="42"/>
      <c r="P974" s="42"/>
      <c r="Q974" s="42"/>
      <c r="R974" s="42"/>
      <c r="S974" s="42"/>
      <c r="T974" s="42"/>
      <c r="U974" s="42"/>
      <c r="V974" s="42"/>
      <c r="W974" s="42"/>
      <c r="X974" s="42"/>
      <c r="Y974" s="42"/>
      <c r="Z974" s="42"/>
    </row>
    <row r="975" ht="171.0" customHeight="1">
      <c r="A975" s="57" t="s">
        <v>2916</v>
      </c>
      <c r="B975" s="57" t="s">
        <v>189</v>
      </c>
      <c r="C975" s="57" t="s">
        <v>3003</v>
      </c>
      <c r="D975" s="57" t="s">
        <v>3004</v>
      </c>
      <c r="E975" s="57"/>
      <c r="F975" s="58">
        <v>4411000.0</v>
      </c>
      <c r="G975" s="57" t="s">
        <v>467</v>
      </c>
      <c r="H975" s="59" t="s">
        <v>594</v>
      </c>
      <c r="I975" s="59" t="s">
        <v>595</v>
      </c>
      <c r="J975" s="57" t="s">
        <v>3002</v>
      </c>
      <c r="K975" s="67">
        <v>26634.0</v>
      </c>
      <c r="L975" s="42"/>
      <c r="M975" s="42"/>
      <c r="N975" s="42"/>
      <c r="O975" s="42"/>
      <c r="P975" s="42"/>
      <c r="Q975" s="42"/>
      <c r="R975" s="42"/>
      <c r="S975" s="42"/>
      <c r="T975" s="42"/>
      <c r="U975" s="42"/>
      <c r="V975" s="42"/>
      <c r="W975" s="42"/>
      <c r="X975" s="42"/>
      <c r="Y975" s="42"/>
      <c r="Z975" s="42"/>
    </row>
    <row r="976" ht="171.0" customHeight="1">
      <c r="A976" s="57" t="s">
        <v>2916</v>
      </c>
      <c r="B976" s="57" t="s">
        <v>189</v>
      </c>
      <c r="C976" s="57" t="s">
        <v>3005</v>
      </c>
      <c r="D976" s="57" t="s">
        <v>3006</v>
      </c>
      <c r="E976" s="57"/>
      <c r="F976" s="58">
        <v>4679000.0</v>
      </c>
      <c r="G976" s="57" t="s">
        <v>467</v>
      </c>
      <c r="H976" s="59" t="s">
        <v>594</v>
      </c>
      <c r="I976" s="59" t="s">
        <v>595</v>
      </c>
      <c r="J976" s="57" t="s">
        <v>3002</v>
      </c>
      <c r="K976" s="67">
        <v>26634.0</v>
      </c>
      <c r="L976" s="42"/>
      <c r="M976" s="42"/>
      <c r="N976" s="42"/>
      <c r="O976" s="42"/>
      <c r="P976" s="42"/>
      <c r="Q976" s="42"/>
      <c r="R976" s="42"/>
      <c r="S976" s="42"/>
      <c r="T976" s="42"/>
      <c r="U976" s="42"/>
      <c r="V976" s="42"/>
      <c r="W976" s="42"/>
      <c r="X976" s="42"/>
      <c r="Y976" s="42"/>
      <c r="Z976" s="42"/>
    </row>
    <row r="977" ht="199.5" customHeight="1">
      <c r="A977" s="57" t="s">
        <v>2916</v>
      </c>
      <c r="B977" s="57" t="s">
        <v>189</v>
      </c>
      <c r="C977" s="57" t="s">
        <v>3007</v>
      </c>
      <c r="D977" s="57" t="s">
        <v>3008</v>
      </c>
      <c r="E977" s="57"/>
      <c r="F977" s="58">
        <v>4150000.0</v>
      </c>
      <c r="G977" s="57" t="s">
        <v>467</v>
      </c>
      <c r="H977" s="59" t="s">
        <v>594</v>
      </c>
      <c r="I977" s="59" t="s">
        <v>595</v>
      </c>
      <c r="J977" s="57" t="s">
        <v>3002</v>
      </c>
      <c r="K977" s="67">
        <v>26634.0</v>
      </c>
      <c r="L977" s="42"/>
      <c r="M977" s="42"/>
      <c r="N977" s="42"/>
      <c r="O977" s="42"/>
      <c r="P977" s="42"/>
      <c r="Q977" s="42"/>
      <c r="R977" s="42"/>
      <c r="S977" s="42"/>
      <c r="T977" s="42"/>
      <c r="U977" s="42"/>
      <c r="V977" s="42"/>
      <c r="W977" s="42"/>
      <c r="X977" s="42"/>
      <c r="Y977" s="42"/>
      <c r="Z977" s="42"/>
    </row>
    <row r="978" ht="171.0" customHeight="1">
      <c r="A978" s="57" t="s">
        <v>2916</v>
      </c>
      <c r="B978" s="57" t="s">
        <v>189</v>
      </c>
      <c r="C978" s="57" t="s">
        <v>3009</v>
      </c>
      <c r="D978" s="57" t="s">
        <v>3010</v>
      </c>
      <c r="E978" s="57"/>
      <c r="F978" s="58">
        <v>4323000.0</v>
      </c>
      <c r="G978" s="57" t="s">
        <v>467</v>
      </c>
      <c r="H978" s="59" t="s">
        <v>594</v>
      </c>
      <c r="I978" s="59" t="s">
        <v>595</v>
      </c>
      <c r="J978" s="57" t="s">
        <v>3002</v>
      </c>
      <c r="K978" s="67">
        <v>26634.0</v>
      </c>
      <c r="L978" s="42"/>
      <c r="M978" s="42"/>
      <c r="N978" s="42"/>
      <c r="O978" s="42"/>
      <c r="P978" s="42"/>
      <c r="Q978" s="42"/>
      <c r="R978" s="42"/>
      <c r="S978" s="42"/>
      <c r="T978" s="42"/>
      <c r="U978" s="42"/>
      <c r="V978" s="42"/>
      <c r="W978" s="42"/>
      <c r="X978" s="42"/>
      <c r="Y978" s="42"/>
      <c r="Z978" s="42"/>
    </row>
    <row r="979" ht="171.0" customHeight="1">
      <c r="A979" s="57" t="s">
        <v>2916</v>
      </c>
      <c r="B979" s="57" t="s">
        <v>189</v>
      </c>
      <c r="C979" s="57" t="s">
        <v>3011</v>
      </c>
      <c r="D979" s="57" t="s">
        <v>3012</v>
      </c>
      <c r="E979" s="57"/>
      <c r="F979" s="58">
        <v>4542000.0</v>
      </c>
      <c r="G979" s="57" t="s">
        <v>467</v>
      </c>
      <c r="H979" s="59" t="s">
        <v>594</v>
      </c>
      <c r="I979" s="59" t="s">
        <v>595</v>
      </c>
      <c r="J979" s="57" t="s">
        <v>3002</v>
      </c>
      <c r="K979" s="67">
        <v>26634.0</v>
      </c>
      <c r="L979" s="42"/>
      <c r="M979" s="42"/>
      <c r="N979" s="42"/>
      <c r="O979" s="42"/>
      <c r="P979" s="42"/>
      <c r="Q979" s="42"/>
      <c r="R979" s="42"/>
      <c r="S979" s="42"/>
      <c r="T979" s="42"/>
      <c r="U979" s="42"/>
      <c r="V979" s="42"/>
      <c r="W979" s="42"/>
      <c r="X979" s="42"/>
      <c r="Y979" s="42"/>
      <c r="Z979" s="42"/>
    </row>
    <row r="980" ht="57.0" customHeight="1">
      <c r="A980" s="57" t="s">
        <v>2916</v>
      </c>
      <c r="B980" s="57" t="s">
        <v>189</v>
      </c>
      <c r="C980" s="57" t="s">
        <v>3013</v>
      </c>
      <c r="D980" s="57" t="s">
        <v>3014</v>
      </c>
      <c r="E980" s="57"/>
      <c r="F980" s="58">
        <v>185000.0</v>
      </c>
      <c r="G980" s="57" t="s">
        <v>467</v>
      </c>
      <c r="H980" s="59" t="s">
        <v>594</v>
      </c>
      <c r="I980" s="59" t="s">
        <v>3015</v>
      </c>
      <c r="J980" s="61" t="s">
        <v>3016</v>
      </c>
      <c r="K980" s="67">
        <v>26816.0</v>
      </c>
      <c r="L980" s="42"/>
      <c r="M980" s="42"/>
      <c r="N980" s="42"/>
      <c r="O980" s="42"/>
      <c r="P980" s="42"/>
      <c r="Q980" s="42"/>
      <c r="R980" s="42"/>
      <c r="S980" s="42"/>
      <c r="T980" s="42"/>
      <c r="U980" s="42"/>
      <c r="V980" s="42"/>
      <c r="W980" s="42"/>
      <c r="X980" s="42"/>
      <c r="Y980" s="42"/>
      <c r="Z980" s="42"/>
    </row>
    <row r="981" ht="114.0" customHeight="1">
      <c r="A981" s="57" t="s">
        <v>2916</v>
      </c>
      <c r="B981" s="57" t="s">
        <v>189</v>
      </c>
      <c r="C981" s="57" t="s">
        <v>3017</v>
      </c>
      <c r="D981" s="57" t="s">
        <v>3018</v>
      </c>
      <c r="E981" s="57"/>
      <c r="F981" s="58">
        <v>1.2E7</v>
      </c>
      <c r="G981" s="57" t="s">
        <v>467</v>
      </c>
      <c r="H981" s="59" t="s">
        <v>594</v>
      </c>
      <c r="I981" s="59" t="s">
        <v>3019</v>
      </c>
      <c r="J981" s="61" t="s">
        <v>3020</v>
      </c>
      <c r="K981" s="67">
        <v>26969.0</v>
      </c>
      <c r="L981" s="42"/>
      <c r="M981" s="42"/>
      <c r="N981" s="42"/>
      <c r="O981" s="42"/>
      <c r="P981" s="42"/>
      <c r="Q981" s="42"/>
      <c r="R981" s="42"/>
      <c r="S981" s="42"/>
      <c r="T981" s="42"/>
      <c r="U981" s="42"/>
      <c r="V981" s="42"/>
      <c r="W981" s="42"/>
      <c r="X981" s="42"/>
      <c r="Y981" s="42"/>
      <c r="Z981" s="42"/>
    </row>
    <row r="982" ht="114.0" customHeight="1">
      <c r="A982" s="57" t="s">
        <v>2916</v>
      </c>
      <c r="B982" s="57" t="s">
        <v>189</v>
      </c>
      <c r="C982" s="57" t="s">
        <v>3021</v>
      </c>
      <c r="D982" s="57" t="s">
        <v>3022</v>
      </c>
      <c r="E982" s="57"/>
      <c r="F982" s="58">
        <v>1.039E7</v>
      </c>
      <c r="G982" s="57" t="s">
        <v>251</v>
      </c>
      <c r="H982" s="59" t="s">
        <v>594</v>
      </c>
      <c r="I982" s="59" t="s">
        <v>2989</v>
      </c>
      <c r="J982" s="61" t="s">
        <v>2990</v>
      </c>
      <c r="K982" s="67">
        <v>25477.0</v>
      </c>
      <c r="L982" s="42"/>
      <c r="M982" s="42"/>
      <c r="N982" s="42"/>
      <c r="O982" s="42"/>
      <c r="P982" s="42"/>
      <c r="Q982" s="42"/>
      <c r="R982" s="42"/>
      <c r="S982" s="42"/>
      <c r="T982" s="42"/>
      <c r="U982" s="42"/>
      <c r="V982" s="42"/>
      <c r="W982" s="42"/>
      <c r="X982" s="42"/>
      <c r="Y982" s="42"/>
      <c r="Z982" s="42"/>
    </row>
    <row r="983" ht="114.0" customHeight="1">
      <c r="A983" s="57" t="s">
        <v>2916</v>
      </c>
      <c r="B983" s="57" t="s">
        <v>189</v>
      </c>
      <c r="C983" s="57" t="s">
        <v>3023</v>
      </c>
      <c r="D983" s="57" t="s">
        <v>3024</v>
      </c>
      <c r="E983" s="57"/>
      <c r="F983" s="58">
        <v>7250000.0</v>
      </c>
      <c r="G983" s="57" t="s">
        <v>251</v>
      </c>
      <c r="H983" s="59" t="s">
        <v>594</v>
      </c>
      <c r="I983" s="59" t="s">
        <v>2989</v>
      </c>
      <c r="J983" s="61" t="s">
        <v>3025</v>
      </c>
      <c r="K983" s="67">
        <v>27851.0</v>
      </c>
      <c r="L983" s="42"/>
      <c r="M983" s="42"/>
      <c r="N983" s="42"/>
      <c r="O983" s="42"/>
      <c r="P983" s="42"/>
      <c r="Q983" s="42"/>
      <c r="R983" s="42"/>
      <c r="S983" s="42"/>
      <c r="T983" s="42"/>
      <c r="U983" s="42"/>
      <c r="V983" s="42"/>
      <c r="W983" s="42"/>
      <c r="X983" s="42"/>
      <c r="Y983" s="42"/>
      <c r="Z983" s="42"/>
    </row>
    <row r="984" ht="114.0" customHeight="1">
      <c r="A984" s="57" t="s">
        <v>2916</v>
      </c>
      <c r="B984" s="57" t="s">
        <v>189</v>
      </c>
      <c r="C984" s="57" t="s">
        <v>3026</v>
      </c>
      <c r="D984" s="57" t="s">
        <v>3027</v>
      </c>
      <c r="E984" s="57"/>
      <c r="F984" s="58">
        <v>1.07E7</v>
      </c>
      <c r="G984" s="57" t="s">
        <v>251</v>
      </c>
      <c r="H984" s="59" t="s">
        <v>594</v>
      </c>
      <c r="I984" s="59" t="s">
        <v>2989</v>
      </c>
      <c r="J984" s="61" t="s">
        <v>3025</v>
      </c>
      <c r="K984" s="67">
        <v>27851.0</v>
      </c>
      <c r="L984" s="42"/>
      <c r="M984" s="42"/>
      <c r="N984" s="42"/>
      <c r="O984" s="42"/>
      <c r="P984" s="42"/>
      <c r="Q984" s="42"/>
      <c r="R984" s="42"/>
      <c r="S984" s="42"/>
      <c r="T984" s="42"/>
      <c r="U984" s="42"/>
      <c r="V984" s="42"/>
      <c r="W984" s="42"/>
      <c r="X984" s="42"/>
      <c r="Y984" s="42"/>
      <c r="Z984" s="42"/>
    </row>
    <row r="985" ht="114.0" customHeight="1">
      <c r="A985" s="57" t="s">
        <v>2916</v>
      </c>
      <c r="B985" s="57" t="s">
        <v>189</v>
      </c>
      <c r="C985" s="57" t="s">
        <v>3028</v>
      </c>
      <c r="D985" s="57" t="s">
        <v>3029</v>
      </c>
      <c r="E985" s="57"/>
      <c r="F985" s="58">
        <v>1.11E7</v>
      </c>
      <c r="G985" s="57" t="s">
        <v>251</v>
      </c>
      <c r="H985" s="59" t="s">
        <v>594</v>
      </c>
      <c r="I985" s="59" t="s">
        <v>2989</v>
      </c>
      <c r="J985" s="61" t="s">
        <v>3025</v>
      </c>
      <c r="K985" s="67">
        <v>27851.0</v>
      </c>
      <c r="L985" s="42"/>
      <c r="M985" s="42"/>
      <c r="N985" s="42"/>
      <c r="O985" s="42"/>
      <c r="P985" s="42"/>
      <c r="Q985" s="42"/>
      <c r="R985" s="42"/>
      <c r="S985" s="42"/>
      <c r="T985" s="42"/>
      <c r="U985" s="42"/>
      <c r="V985" s="42"/>
      <c r="W985" s="42"/>
      <c r="X985" s="42"/>
      <c r="Y985" s="42"/>
      <c r="Z985" s="42"/>
    </row>
    <row r="986" ht="114.0" customHeight="1">
      <c r="A986" s="57" t="s">
        <v>2916</v>
      </c>
      <c r="B986" s="57" t="s">
        <v>189</v>
      </c>
      <c r="C986" s="57" t="s">
        <v>3030</v>
      </c>
      <c r="D986" s="57" t="s">
        <v>3031</v>
      </c>
      <c r="E986" s="57"/>
      <c r="F986" s="58">
        <v>6500000.0</v>
      </c>
      <c r="G986" s="57" t="s">
        <v>251</v>
      </c>
      <c r="H986" s="59" t="s">
        <v>594</v>
      </c>
      <c r="I986" s="59" t="s">
        <v>2989</v>
      </c>
      <c r="J986" s="61" t="s">
        <v>3025</v>
      </c>
      <c r="K986" s="67">
        <v>27851.0</v>
      </c>
      <c r="L986" s="42"/>
      <c r="M986" s="42"/>
      <c r="N986" s="42"/>
      <c r="O986" s="42"/>
      <c r="P986" s="42"/>
      <c r="Q986" s="42"/>
      <c r="R986" s="42"/>
      <c r="S986" s="42"/>
      <c r="T986" s="42"/>
      <c r="U986" s="42"/>
      <c r="V986" s="42"/>
      <c r="W986" s="42"/>
      <c r="X986" s="42"/>
      <c r="Y986" s="42"/>
      <c r="Z986" s="42"/>
    </row>
    <row r="987" ht="114.0" customHeight="1">
      <c r="A987" s="57" t="s">
        <v>2916</v>
      </c>
      <c r="B987" s="57" t="s">
        <v>189</v>
      </c>
      <c r="C987" s="57" t="s">
        <v>3032</v>
      </c>
      <c r="D987" s="57" t="s">
        <v>3033</v>
      </c>
      <c r="E987" s="57"/>
      <c r="F987" s="58">
        <v>7250000.0</v>
      </c>
      <c r="G987" s="57" t="s">
        <v>251</v>
      </c>
      <c r="H987" s="59" t="s">
        <v>594</v>
      </c>
      <c r="I987" s="59" t="s">
        <v>2989</v>
      </c>
      <c r="J987" s="61" t="s">
        <v>3025</v>
      </c>
      <c r="K987" s="67">
        <v>27851.0</v>
      </c>
      <c r="L987" s="42"/>
      <c r="M987" s="42"/>
      <c r="N987" s="42"/>
      <c r="O987" s="42"/>
      <c r="P987" s="42"/>
      <c r="Q987" s="42"/>
      <c r="R987" s="42"/>
      <c r="S987" s="42"/>
      <c r="T987" s="42"/>
      <c r="U987" s="42"/>
      <c r="V987" s="42"/>
      <c r="W987" s="42"/>
      <c r="X987" s="42"/>
      <c r="Y987" s="42"/>
      <c r="Z987" s="42"/>
    </row>
    <row r="988" ht="57.0" customHeight="1">
      <c r="A988" s="57" t="s">
        <v>2916</v>
      </c>
      <c r="B988" s="57" t="s">
        <v>189</v>
      </c>
      <c r="C988" s="57" t="s">
        <v>3034</v>
      </c>
      <c r="D988" s="57" t="s">
        <v>3035</v>
      </c>
      <c r="E988" s="57"/>
      <c r="F988" s="58">
        <v>9700.0</v>
      </c>
      <c r="G988" s="57" t="s">
        <v>251</v>
      </c>
      <c r="H988" s="59" t="s">
        <v>952</v>
      </c>
      <c r="I988" s="59" t="s">
        <v>953</v>
      </c>
      <c r="J988" s="61"/>
      <c r="K988" s="61"/>
      <c r="L988" s="42"/>
      <c r="M988" s="42"/>
      <c r="N988" s="42"/>
      <c r="O988" s="42"/>
      <c r="P988" s="42"/>
      <c r="Q988" s="42"/>
      <c r="R988" s="42"/>
      <c r="S988" s="42"/>
      <c r="T988" s="42"/>
      <c r="U988" s="42"/>
      <c r="V988" s="42"/>
      <c r="W988" s="42"/>
      <c r="X988" s="42"/>
      <c r="Y988" s="42"/>
      <c r="Z988" s="42"/>
    </row>
    <row r="989" ht="57.0" customHeight="1">
      <c r="A989" s="57" t="s">
        <v>2916</v>
      </c>
      <c r="B989" s="57" t="s">
        <v>189</v>
      </c>
      <c r="C989" s="57" t="s">
        <v>3036</v>
      </c>
      <c r="D989" s="57" t="s">
        <v>3037</v>
      </c>
      <c r="E989" s="57"/>
      <c r="F989" s="58">
        <v>12100.0</v>
      </c>
      <c r="G989" s="57" t="s">
        <v>251</v>
      </c>
      <c r="H989" s="59" t="s">
        <v>952</v>
      </c>
      <c r="I989" s="59" t="s">
        <v>953</v>
      </c>
      <c r="J989" s="61"/>
      <c r="K989" s="61"/>
      <c r="L989" s="42"/>
      <c r="M989" s="42"/>
      <c r="N989" s="42"/>
      <c r="O989" s="42"/>
      <c r="P989" s="42"/>
      <c r="Q989" s="42"/>
      <c r="R989" s="42"/>
      <c r="S989" s="42"/>
      <c r="T989" s="42"/>
      <c r="U989" s="42"/>
      <c r="V989" s="42"/>
      <c r="W989" s="42"/>
      <c r="X989" s="42"/>
      <c r="Y989" s="42"/>
      <c r="Z989" s="42"/>
    </row>
    <row r="990" ht="30.75" customHeight="1">
      <c r="A990" s="52" t="s">
        <v>3038</v>
      </c>
      <c r="B990" s="52" t="s">
        <v>193</v>
      </c>
      <c r="C990" s="52" t="s">
        <v>194</v>
      </c>
      <c r="D990" s="52" t="s">
        <v>195</v>
      </c>
      <c r="E990" s="52"/>
      <c r="F990" s="62"/>
      <c r="G990" s="52"/>
      <c r="H990" s="63"/>
      <c r="I990" s="63"/>
      <c r="J990" s="54"/>
      <c r="K990" s="54"/>
      <c r="L990" s="56"/>
      <c r="M990" s="56"/>
      <c r="N990" s="56"/>
      <c r="O990" s="56"/>
      <c r="P990" s="56"/>
      <c r="Q990" s="56"/>
      <c r="R990" s="56"/>
      <c r="S990" s="56"/>
      <c r="T990" s="56"/>
      <c r="U990" s="56"/>
      <c r="V990" s="56"/>
      <c r="W990" s="56"/>
      <c r="X990" s="56"/>
      <c r="Y990" s="56"/>
      <c r="Z990" s="56"/>
    </row>
    <row r="991" ht="30.75" customHeight="1">
      <c r="A991" s="57" t="s">
        <v>3038</v>
      </c>
      <c r="B991" s="57" t="s">
        <v>193</v>
      </c>
      <c r="C991" s="57" t="s">
        <v>3039</v>
      </c>
      <c r="D991" s="57" t="s">
        <v>3040</v>
      </c>
      <c r="E991" s="57"/>
      <c r="F991" s="58">
        <v>15500.0</v>
      </c>
      <c r="G991" s="57" t="s">
        <v>512</v>
      </c>
      <c r="H991" s="59" t="s">
        <v>952</v>
      </c>
      <c r="I991" s="59" t="s">
        <v>953</v>
      </c>
      <c r="J991" s="61"/>
      <c r="K991" s="61"/>
      <c r="L991" s="42"/>
      <c r="M991" s="42"/>
      <c r="N991" s="42"/>
      <c r="O991" s="42"/>
      <c r="P991" s="42"/>
      <c r="Q991" s="42"/>
      <c r="R991" s="42"/>
      <c r="S991" s="42"/>
      <c r="T991" s="42"/>
      <c r="U991" s="42"/>
      <c r="V991" s="42"/>
      <c r="W991" s="42"/>
      <c r="X991" s="42"/>
      <c r="Y991" s="42"/>
      <c r="Z991" s="42"/>
    </row>
    <row r="992" ht="30.75" customHeight="1">
      <c r="A992" s="57" t="s">
        <v>3038</v>
      </c>
      <c r="B992" s="57" t="s">
        <v>193</v>
      </c>
      <c r="C992" s="57" t="s">
        <v>3041</v>
      </c>
      <c r="D992" s="57" t="s">
        <v>3042</v>
      </c>
      <c r="E992" s="57"/>
      <c r="F992" s="58">
        <v>22500.0</v>
      </c>
      <c r="G992" s="57" t="s">
        <v>512</v>
      </c>
      <c r="H992" s="59" t="s">
        <v>952</v>
      </c>
      <c r="I992" s="59" t="s">
        <v>953</v>
      </c>
      <c r="J992" s="61"/>
      <c r="K992" s="61"/>
      <c r="L992" s="42"/>
      <c r="M992" s="42"/>
      <c r="N992" s="42"/>
      <c r="O992" s="42"/>
      <c r="P992" s="42"/>
      <c r="Q992" s="42"/>
      <c r="R992" s="42"/>
      <c r="S992" s="42"/>
      <c r="T992" s="42"/>
      <c r="U992" s="42"/>
      <c r="V992" s="42"/>
      <c r="W992" s="42"/>
      <c r="X992" s="42"/>
      <c r="Y992" s="42"/>
      <c r="Z992" s="42"/>
    </row>
    <row r="993" ht="30.75" customHeight="1">
      <c r="A993" s="57" t="s">
        <v>3038</v>
      </c>
      <c r="B993" s="57" t="s">
        <v>193</v>
      </c>
      <c r="C993" s="57" t="s">
        <v>3043</v>
      </c>
      <c r="D993" s="57" t="s">
        <v>3044</v>
      </c>
      <c r="E993" s="57"/>
      <c r="F993" s="58">
        <v>18000.0</v>
      </c>
      <c r="G993" s="57" t="s">
        <v>512</v>
      </c>
      <c r="H993" s="59" t="s">
        <v>952</v>
      </c>
      <c r="I993" s="59" t="s">
        <v>953</v>
      </c>
      <c r="J993" s="61"/>
      <c r="K993" s="61"/>
      <c r="L993" s="42"/>
      <c r="M993" s="42"/>
      <c r="N993" s="42"/>
      <c r="O993" s="42"/>
      <c r="P993" s="42"/>
      <c r="Q993" s="42"/>
      <c r="R993" s="42"/>
      <c r="S993" s="42"/>
      <c r="T993" s="42"/>
      <c r="U993" s="42"/>
      <c r="V993" s="42"/>
      <c r="W993" s="42"/>
      <c r="X993" s="42"/>
      <c r="Y993" s="42"/>
      <c r="Z993" s="42"/>
    </row>
    <row r="994" ht="30.75" customHeight="1">
      <c r="A994" s="57" t="s">
        <v>3038</v>
      </c>
      <c r="B994" s="57" t="s">
        <v>193</v>
      </c>
      <c r="C994" s="57" t="s">
        <v>3045</v>
      </c>
      <c r="D994" s="57" t="s">
        <v>3046</v>
      </c>
      <c r="E994" s="57"/>
      <c r="F994" s="58">
        <v>21000.0</v>
      </c>
      <c r="G994" s="57" t="s">
        <v>512</v>
      </c>
      <c r="H994" s="59" t="s">
        <v>952</v>
      </c>
      <c r="I994" s="59" t="s">
        <v>953</v>
      </c>
      <c r="J994" s="61"/>
      <c r="K994" s="61"/>
      <c r="L994" s="42"/>
      <c r="M994" s="42"/>
      <c r="N994" s="42"/>
      <c r="O994" s="42"/>
      <c r="P994" s="42"/>
      <c r="Q994" s="42"/>
      <c r="R994" s="42"/>
      <c r="S994" s="42"/>
      <c r="T994" s="42"/>
      <c r="U994" s="42"/>
      <c r="V994" s="42"/>
      <c r="W994" s="42"/>
      <c r="X994" s="42"/>
      <c r="Y994" s="42"/>
      <c r="Z994" s="42"/>
    </row>
    <row r="995" ht="30.75" customHeight="1">
      <c r="A995" s="57" t="s">
        <v>3038</v>
      </c>
      <c r="B995" s="57" t="s">
        <v>193</v>
      </c>
      <c r="C995" s="57" t="s">
        <v>3047</v>
      </c>
      <c r="D995" s="57" t="s">
        <v>3048</v>
      </c>
      <c r="E995" s="57"/>
      <c r="F995" s="58">
        <v>8000.0</v>
      </c>
      <c r="G995" s="57" t="s">
        <v>512</v>
      </c>
      <c r="H995" s="59" t="s">
        <v>952</v>
      </c>
      <c r="I995" s="59" t="s">
        <v>953</v>
      </c>
      <c r="J995" s="61"/>
      <c r="K995" s="61"/>
      <c r="L995" s="42"/>
      <c r="M995" s="42"/>
      <c r="N995" s="42"/>
      <c r="O995" s="42"/>
      <c r="P995" s="42"/>
      <c r="Q995" s="42"/>
      <c r="R995" s="42"/>
      <c r="S995" s="42"/>
      <c r="T995" s="42"/>
      <c r="U995" s="42"/>
      <c r="V995" s="42"/>
      <c r="W995" s="42"/>
      <c r="X995" s="42"/>
      <c r="Y995" s="42"/>
      <c r="Z995" s="42"/>
    </row>
    <row r="996" ht="30.75" customHeight="1">
      <c r="A996" s="57" t="s">
        <v>3038</v>
      </c>
      <c r="B996" s="57" t="s">
        <v>193</v>
      </c>
      <c r="C996" s="57" t="s">
        <v>3049</v>
      </c>
      <c r="D996" s="57" t="s">
        <v>3050</v>
      </c>
      <c r="E996" s="57"/>
      <c r="F996" s="58">
        <v>14500.0</v>
      </c>
      <c r="G996" s="57" t="s">
        <v>2387</v>
      </c>
      <c r="H996" s="59" t="s">
        <v>952</v>
      </c>
      <c r="I996" s="59" t="s">
        <v>953</v>
      </c>
      <c r="J996" s="61"/>
      <c r="K996" s="61"/>
      <c r="L996" s="42"/>
      <c r="M996" s="42"/>
      <c r="N996" s="42"/>
      <c r="O996" s="42"/>
      <c r="P996" s="42"/>
      <c r="Q996" s="42"/>
      <c r="R996" s="42"/>
      <c r="S996" s="42"/>
      <c r="T996" s="42"/>
      <c r="U996" s="42"/>
      <c r="V996" s="42"/>
      <c r="W996" s="42"/>
      <c r="X996" s="42"/>
      <c r="Y996" s="42"/>
      <c r="Z996" s="42"/>
    </row>
    <row r="997" ht="57.0" customHeight="1">
      <c r="A997" s="52" t="s">
        <v>3051</v>
      </c>
      <c r="B997" s="52" t="s">
        <v>197</v>
      </c>
      <c r="C997" s="52" t="s">
        <v>198</v>
      </c>
      <c r="D997" s="52" t="s">
        <v>199</v>
      </c>
      <c r="E997" s="52"/>
      <c r="F997" s="62"/>
      <c r="G997" s="52"/>
      <c r="H997" s="63"/>
      <c r="I997" s="63"/>
      <c r="J997" s="54"/>
      <c r="K997" s="54"/>
      <c r="L997" s="56"/>
      <c r="M997" s="56"/>
      <c r="N997" s="56"/>
      <c r="O997" s="56"/>
      <c r="P997" s="56"/>
      <c r="Q997" s="56"/>
      <c r="R997" s="56"/>
      <c r="S997" s="56"/>
      <c r="T997" s="56"/>
      <c r="U997" s="56"/>
      <c r="V997" s="56"/>
      <c r="W997" s="56"/>
      <c r="X997" s="56"/>
      <c r="Y997" s="56"/>
      <c r="Z997" s="56"/>
    </row>
    <row r="998" ht="57.0" customHeight="1">
      <c r="A998" s="57" t="s">
        <v>3051</v>
      </c>
      <c r="B998" s="57" t="s">
        <v>197</v>
      </c>
      <c r="C998" s="57" t="s">
        <v>3052</v>
      </c>
      <c r="D998" s="57" t="s">
        <v>3053</v>
      </c>
      <c r="E998" s="57" t="s">
        <v>3054</v>
      </c>
      <c r="F998" s="58">
        <v>3000.0</v>
      </c>
      <c r="G998" s="57" t="s">
        <v>467</v>
      </c>
      <c r="H998" s="59" t="s">
        <v>3055</v>
      </c>
      <c r="I998" s="59" t="s">
        <v>3056</v>
      </c>
      <c r="J998" s="61"/>
      <c r="K998" s="61"/>
      <c r="L998" s="42"/>
      <c r="M998" s="42"/>
      <c r="N998" s="42"/>
      <c r="O998" s="42"/>
      <c r="P998" s="42"/>
      <c r="Q998" s="42"/>
      <c r="R998" s="42"/>
      <c r="S998" s="42"/>
      <c r="T998" s="42"/>
      <c r="U998" s="42"/>
      <c r="V998" s="42"/>
      <c r="W998" s="42"/>
      <c r="X998" s="42"/>
      <c r="Y998" s="42"/>
      <c r="Z998" s="42"/>
    </row>
    <row r="999" ht="85.5" customHeight="1">
      <c r="A999" s="57" t="s">
        <v>3051</v>
      </c>
      <c r="B999" s="57" t="s">
        <v>197</v>
      </c>
      <c r="C999" s="57" t="s">
        <v>3057</v>
      </c>
      <c r="D999" s="57" t="s">
        <v>3058</v>
      </c>
      <c r="E999" s="57" t="s">
        <v>3059</v>
      </c>
      <c r="F999" s="58">
        <v>16000.0</v>
      </c>
      <c r="G999" s="57" t="s">
        <v>467</v>
      </c>
      <c r="H999" s="59" t="s">
        <v>3055</v>
      </c>
      <c r="I999" s="59" t="s">
        <v>3056</v>
      </c>
      <c r="J999" s="61"/>
      <c r="K999" s="61"/>
      <c r="L999" s="42"/>
      <c r="M999" s="42"/>
      <c r="N999" s="42"/>
      <c r="O999" s="42"/>
      <c r="P999" s="42"/>
      <c r="Q999" s="42"/>
      <c r="R999" s="42"/>
      <c r="S999" s="42"/>
      <c r="T999" s="42"/>
      <c r="U999" s="42"/>
      <c r="V999" s="42"/>
      <c r="W999" s="42"/>
      <c r="X999" s="42"/>
      <c r="Y999" s="42"/>
      <c r="Z999" s="42"/>
    </row>
    <row r="1000" ht="114.0" customHeight="1">
      <c r="A1000" s="57" t="s">
        <v>3051</v>
      </c>
      <c r="B1000" s="57" t="s">
        <v>197</v>
      </c>
      <c r="C1000" s="57" t="s">
        <v>3060</v>
      </c>
      <c r="D1000" s="57" t="s">
        <v>3061</v>
      </c>
      <c r="E1000" s="57" t="s">
        <v>3062</v>
      </c>
      <c r="F1000" s="58">
        <v>38000.0</v>
      </c>
      <c r="G1000" s="57" t="s">
        <v>467</v>
      </c>
      <c r="H1000" s="59" t="s">
        <v>3055</v>
      </c>
      <c r="I1000" s="59" t="s">
        <v>3056</v>
      </c>
      <c r="J1000" s="61"/>
      <c r="K1000" s="61"/>
      <c r="L1000" s="42"/>
      <c r="M1000" s="42"/>
      <c r="N1000" s="42"/>
      <c r="O1000" s="42"/>
      <c r="P1000" s="42"/>
      <c r="Q1000" s="42"/>
      <c r="R1000" s="42"/>
      <c r="S1000" s="42"/>
      <c r="T1000" s="42"/>
      <c r="U1000" s="42"/>
      <c r="V1000" s="42"/>
      <c r="W1000" s="42"/>
      <c r="X1000" s="42"/>
      <c r="Y1000" s="42"/>
      <c r="Z1000" s="42"/>
    </row>
    <row r="1001" ht="114.0" customHeight="1">
      <c r="A1001" s="57" t="s">
        <v>3051</v>
      </c>
      <c r="B1001" s="57" t="s">
        <v>197</v>
      </c>
      <c r="C1001" s="57" t="s">
        <v>3063</v>
      </c>
      <c r="D1001" s="57" t="s">
        <v>3064</v>
      </c>
      <c r="E1001" s="57" t="s">
        <v>3065</v>
      </c>
      <c r="F1001" s="58">
        <v>44000.0</v>
      </c>
      <c r="G1001" s="57" t="s">
        <v>467</v>
      </c>
      <c r="H1001" s="59" t="s">
        <v>3055</v>
      </c>
      <c r="I1001" s="59" t="s">
        <v>3056</v>
      </c>
      <c r="J1001" s="61"/>
      <c r="K1001" s="61"/>
      <c r="L1001" s="42"/>
      <c r="M1001" s="42"/>
      <c r="N1001" s="42"/>
      <c r="O1001" s="42"/>
      <c r="P1001" s="42"/>
      <c r="Q1001" s="42"/>
      <c r="R1001" s="42"/>
      <c r="S1001" s="42"/>
      <c r="T1001" s="42"/>
      <c r="U1001" s="42"/>
      <c r="V1001" s="42"/>
      <c r="W1001" s="42"/>
      <c r="X1001" s="42"/>
      <c r="Y1001" s="42"/>
      <c r="Z1001" s="42"/>
    </row>
    <row r="1002" ht="57.0" customHeight="1">
      <c r="A1002" s="57" t="s">
        <v>3051</v>
      </c>
      <c r="B1002" s="57" t="s">
        <v>197</v>
      </c>
      <c r="C1002" s="57" t="s">
        <v>3066</v>
      </c>
      <c r="D1002" s="57" t="s">
        <v>3067</v>
      </c>
      <c r="E1002" s="57" t="s">
        <v>3068</v>
      </c>
      <c r="F1002" s="58">
        <v>5700.0</v>
      </c>
      <c r="G1002" s="57" t="s">
        <v>467</v>
      </c>
      <c r="H1002" s="59" t="s">
        <v>3055</v>
      </c>
      <c r="I1002" s="59" t="s">
        <v>3056</v>
      </c>
      <c r="J1002" s="61"/>
      <c r="K1002" s="61"/>
      <c r="L1002" s="42"/>
      <c r="M1002" s="42"/>
      <c r="N1002" s="42"/>
      <c r="O1002" s="42"/>
      <c r="P1002" s="42"/>
      <c r="Q1002" s="42"/>
      <c r="R1002" s="42"/>
      <c r="S1002" s="42"/>
      <c r="T1002" s="42"/>
      <c r="U1002" s="42"/>
      <c r="V1002" s="42"/>
      <c r="W1002" s="42"/>
      <c r="X1002" s="42"/>
      <c r="Y1002" s="42"/>
      <c r="Z1002" s="42"/>
    </row>
    <row r="1003" ht="85.5" customHeight="1">
      <c r="A1003" s="57" t="s">
        <v>3051</v>
      </c>
      <c r="B1003" s="57" t="s">
        <v>197</v>
      </c>
      <c r="C1003" s="57" t="s">
        <v>3069</v>
      </c>
      <c r="D1003" s="57" t="s">
        <v>3070</v>
      </c>
      <c r="E1003" s="57" t="s">
        <v>3071</v>
      </c>
      <c r="F1003" s="58">
        <v>22000.0</v>
      </c>
      <c r="G1003" s="57" t="s">
        <v>467</v>
      </c>
      <c r="H1003" s="59" t="s">
        <v>3055</v>
      </c>
      <c r="I1003" s="59" t="s">
        <v>3056</v>
      </c>
      <c r="J1003" s="61"/>
      <c r="K1003" s="61"/>
      <c r="L1003" s="42"/>
      <c r="M1003" s="42"/>
      <c r="N1003" s="42"/>
      <c r="O1003" s="42"/>
      <c r="P1003" s="42"/>
      <c r="Q1003" s="42"/>
      <c r="R1003" s="42"/>
      <c r="S1003" s="42"/>
      <c r="T1003" s="42"/>
      <c r="U1003" s="42"/>
      <c r="V1003" s="42"/>
      <c r="W1003" s="42"/>
      <c r="X1003" s="42"/>
      <c r="Y1003" s="42"/>
      <c r="Z1003" s="42"/>
    </row>
    <row r="1004" ht="85.5" customHeight="1">
      <c r="A1004" s="57" t="s">
        <v>3051</v>
      </c>
      <c r="B1004" s="57" t="s">
        <v>197</v>
      </c>
      <c r="C1004" s="57" t="s">
        <v>3072</v>
      </c>
      <c r="D1004" s="57" t="s">
        <v>3073</v>
      </c>
      <c r="E1004" s="57"/>
      <c r="F1004" s="58">
        <v>53000.0</v>
      </c>
      <c r="G1004" s="57" t="s">
        <v>467</v>
      </c>
      <c r="H1004" s="59" t="s">
        <v>3055</v>
      </c>
      <c r="I1004" s="59" t="s">
        <v>3056</v>
      </c>
      <c r="J1004" s="61"/>
      <c r="K1004" s="61"/>
      <c r="L1004" s="42"/>
      <c r="M1004" s="42"/>
      <c r="N1004" s="42"/>
      <c r="O1004" s="42"/>
      <c r="P1004" s="42"/>
      <c r="Q1004" s="42"/>
      <c r="R1004" s="42"/>
      <c r="S1004" s="42"/>
      <c r="T1004" s="42"/>
      <c r="U1004" s="42"/>
      <c r="V1004" s="42"/>
      <c r="W1004" s="42"/>
      <c r="X1004" s="42"/>
      <c r="Y1004" s="42"/>
      <c r="Z1004" s="42"/>
    </row>
    <row r="1005" ht="85.5" customHeight="1">
      <c r="A1005" s="57" t="s">
        <v>3051</v>
      </c>
      <c r="B1005" s="57" t="s">
        <v>197</v>
      </c>
      <c r="C1005" s="57" t="s">
        <v>3074</v>
      </c>
      <c r="D1005" s="57" t="s">
        <v>3075</v>
      </c>
      <c r="E1005" s="57"/>
      <c r="F1005" s="58">
        <v>55000.0</v>
      </c>
      <c r="G1005" s="57" t="s">
        <v>467</v>
      </c>
      <c r="H1005" s="59" t="s">
        <v>3055</v>
      </c>
      <c r="I1005" s="59" t="s">
        <v>3056</v>
      </c>
      <c r="J1005" s="61"/>
      <c r="K1005" s="61"/>
      <c r="L1005" s="42"/>
      <c r="M1005" s="42"/>
      <c r="N1005" s="42"/>
      <c r="O1005" s="42"/>
      <c r="P1005" s="42"/>
      <c r="Q1005" s="42"/>
      <c r="R1005" s="42"/>
      <c r="S1005" s="42"/>
      <c r="T1005" s="42"/>
      <c r="U1005" s="42"/>
      <c r="V1005" s="42"/>
      <c r="W1005" s="42"/>
      <c r="X1005" s="42"/>
      <c r="Y1005" s="42"/>
      <c r="Z1005" s="42"/>
    </row>
    <row r="1006" ht="57.0" customHeight="1">
      <c r="A1006" s="57" t="s">
        <v>3051</v>
      </c>
      <c r="B1006" s="57" t="s">
        <v>197</v>
      </c>
      <c r="C1006" s="57" t="s">
        <v>3076</v>
      </c>
      <c r="D1006" s="57" t="s">
        <v>3077</v>
      </c>
      <c r="E1006" s="57"/>
      <c r="F1006" s="58">
        <v>61000.0</v>
      </c>
      <c r="G1006" s="57" t="s">
        <v>467</v>
      </c>
      <c r="H1006" s="59" t="s">
        <v>3055</v>
      </c>
      <c r="I1006" s="59" t="s">
        <v>3056</v>
      </c>
      <c r="J1006" s="61"/>
      <c r="K1006" s="61"/>
      <c r="L1006" s="42"/>
      <c r="M1006" s="42"/>
      <c r="N1006" s="42"/>
      <c r="O1006" s="42"/>
      <c r="P1006" s="42"/>
      <c r="Q1006" s="42"/>
      <c r="R1006" s="42"/>
      <c r="S1006" s="42"/>
      <c r="T1006" s="42"/>
      <c r="U1006" s="42"/>
      <c r="V1006" s="42"/>
      <c r="W1006" s="42"/>
      <c r="X1006" s="42"/>
      <c r="Y1006" s="42"/>
      <c r="Z1006" s="42"/>
    </row>
    <row r="1007" ht="57.0" customHeight="1">
      <c r="A1007" s="52" t="s">
        <v>3051</v>
      </c>
      <c r="B1007" s="52" t="s">
        <v>200</v>
      </c>
      <c r="C1007" s="52" t="s">
        <v>201</v>
      </c>
      <c r="D1007" s="52" t="s">
        <v>202</v>
      </c>
      <c r="E1007" s="52"/>
      <c r="F1007" s="62"/>
      <c r="G1007" s="52"/>
      <c r="H1007" s="63"/>
      <c r="I1007" s="63"/>
      <c r="J1007" s="54"/>
      <c r="K1007" s="54"/>
      <c r="L1007" s="56"/>
      <c r="M1007" s="56"/>
      <c r="N1007" s="56"/>
      <c r="O1007" s="56"/>
      <c r="P1007" s="56"/>
      <c r="Q1007" s="56"/>
      <c r="R1007" s="56"/>
      <c r="S1007" s="56"/>
      <c r="T1007" s="56"/>
      <c r="U1007" s="56"/>
      <c r="V1007" s="56"/>
      <c r="W1007" s="56"/>
      <c r="X1007" s="56"/>
      <c r="Y1007" s="56"/>
      <c r="Z1007" s="56"/>
    </row>
    <row r="1008" ht="57.0" customHeight="1">
      <c r="A1008" s="57" t="s">
        <v>3051</v>
      </c>
      <c r="B1008" s="57" t="s">
        <v>200</v>
      </c>
      <c r="C1008" s="57" t="s">
        <v>3078</v>
      </c>
      <c r="D1008" s="57" t="s">
        <v>3079</v>
      </c>
      <c r="E1008" s="57"/>
      <c r="F1008" s="58">
        <v>130000.0</v>
      </c>
      <c r="G1008" s="57" t="s">
        <v>251</v>
      </c>
      <c r="H1008" s="59" t="s">
        <v>3055</v>
      </c>
      <c r="I1008" s="59" t="s">
        <v>953</v>
      </c>
      <c r="J1008" s="61"/>
      <c r="K1008" s="61"/>
      <c r="L1008" s="42"/>
      <c r="M1008" s="42"/>
      <c r="N1008" s="42"/>
      <c r="O1008" s="42"/>
      <c r="P1008" s="42"/>
      <c r="Q1008" s="42"/>
      <c r="R1008" s="42"/>
      <c r="S1008" s="42"/>
      <c r="T1008" s="42"/>
      <c r="U1008" s="42"/>
      <c r="V1008" s="42"/>
      <c r="W1008" s="42"/>
      <c r="X1008" s="42"/>
      <c r="Y1008" s="42"/>
      <c r="Z1008" s="42"/>
    </row>
    <row r="1009" ht="57.0" customHeight="1">
      <c r="A1009" s="57" t="s">
        <v>3051</v>
      </c>
      <c r="B1009" s="57" t="s">
        <v>200</v>
      </c>
      <c r="C1009" s="57" t="s">
        <v>3080</v>
      </c>
      <c r="D1009" s="57" t="s">
        <v>3081</v>
      </c>
      <c r="E1009" s="57"/>
      <c r="F1009" s="58">
        <v>330000.0</v>
      </c>
      <c r="G1009" s="57" t="s">
        <v>251</v>
      </c>
      <c r="H1009" s="59" t="s">
        <v>3055</v>
      </c>
      <c r="I1009" s="59" t="s">
        <v>953</v>
      </c>
      <c r="J1009" s="61"/>
      <c r="K1009" s="61"/>
      <c r="L1009" s="42"/>
      <c r="M1009" s="42"/>
      <c r="N1009" s="42"/>
      <c r="O1009" s="42"/>
      <c r="P1009" s="42"/>
      <c r="Q1009" s="42"/>
      <c r="R1009" s="42"/>
      <c r="S1009" s="42"/>
      <c r="T1009" s="42"/>
      <c r="U1009" s="42"/>
      <c r="V1009" s="42"/>
      <c r="W1009" s="42"/>
      <c r="X1009" s="42"/>
      <c r="Y1009" s="42"/>
      <c r="Z1009" s="42"/>
    </row>
    <row r="1010" ht="57.0" customHeight="1">
      <c r="A1010" s="57" t="s">
        <v>3051</v>
      </c>
      <c r="B1010" s="57" t="s">
        <v>200</v>
      </c>
      <c r="C1010" s="57" t="s">
        <v>3082</v>
      </c>
      <c r="D1010" s="57" t="s">
        <v>3083</v>
      </c>
      <c r="E1010" s="57"/>
      <c r="F1010" s="58">
        <v>20000.0</v>
      </c>
      <c r="G1010" s="57" t="s">
        <v>251</v>
      </c>
      <c r="H1010" s="59" t="s">
        <v>3055</v>
      </c>
      <c r="I1010" s="59" t="s">
        <v>953</v>
      </c>
      <c r="J1010" s="61"/>
      <c r="K1010" s="61"/>
      <c r="L1010" s="42"/>
      <c r="M1010" s="42"/>
      <c r="N1010" s="42"/>
      <c r="O1010" s="42"/>
      <c r="P1010" s="42"/>
      <c r="Q1010" s="42"/>
      <c r="R1010" s="42"/>
      <c r="S1010" s="42"/>
      <c r="T1010" s="42"/>
      <c r="U1010" s="42"/>
      <c r="V1010" s="42"/>
      <c r="W1010" s="42"/>
      <c r="X1010" s="42"/>
      <c r="Y1010" s="42"/>
      <c r="Z1010" s="42"/>
    </row>
    <row r="1011" ht="57.0" customHeight="1">
      <c r="A1011" s="57" t="s">
        <v>3051</v>
      </c>
      <c r="B1011" s="57" t="s">
        <v>200</v>
      </c>
      <c r="C1011" s="57" t="s">
        <v>3084</v>
      </c>
      <c r="D1011" s="57" t="s">
        <v>3085</v>
      </c>
      <c r="E1011" s="57"/>
      <c r="F1011" s="58">
        <v>26000.0</v>
      </c>
      <c r="G1011" s="57" t="s">
        <v>251</v>
      </c>
      <c r="H1011" s="59" t="s">
        <v>3055</v>
      </c>
      <c r="I1011" s="59" t="s">
        <v>953</v>
      </c>
      <c r="J1011" s="61"/>
      <c r="K1011" s="61"/>
      <c r="L1011" s="42"/>
      <c r="M1011" s="42"/>
      <c r="N1011" s="42"/>
      <c r="O1011" s="42"/>
      <c r="P1011" s="42"/>
      <c r="Q1011" s="42"/>
      <c r="R1011" s="42"/>
      <c r="S1011" s="42"/>
      <c r="T1011" s="42"/>
      <c r="U1011" s="42"/>
      <c r="V1011" s="42"/>
      <c r="W1011" s="42"/>
      <c r="X1011" s="42"/>
      <c r="Y1011" s="42"/>
      <c r="Z1011" s="42"/>
    </row>
    <row r="1012" ht="57.0" customHeight="1">
      <c r="A1012" s="57" t="s">
        <v>3051</v>
      </c>
      <c r="B1012" s="57" t="s">
        <v>200</v>
      </c>
      <c r="C1012" s="57" t="s">
        <v>3086</v>
      </c>
      <c r="D1012" s="57" t="s">
        <v>3087</v>
      </c>
      <c r="E1012" s="57"/>
      <c r="F1012" s="58">
        <v>19000.0</v>
      </c>
      <c r="G1012" s="57" t="s">
        <v>251</v>
      </c>
      <c r="H1012" s="59" t="s">
        <v>3055</v>
      </c>
      <c r="I1012" s="59" t="s">
        <v>953</v>
      </c>
      <c r="J1012" s="61"/>
      <c r="K1012" s="61"/>
      <c r="L1012" s="42"/>
      <c r="M1012" s="42"/>
      <c r="N1012" s="42"/>
      <c r="O1012" s="42"/>
      <c r="P1012" s="42"/>
      <c r="Q1012" s="42"/>
      <c r="R1012" s="42"/>
      <c r="S1012" s="42"/>
      <c r="T1012" s="42"/>
      <c r="U1012" s="42"/>
      <c r="V1012" s="42"/>
      <c r="W1012" s="42"/>
      <c r="X1012" s="42"/>
      <c r="Y1012" s="42"/>
      <c r="Z1012" s="42"/>
    </row>
    <row r="1013" ht="57.0" customHeight="1">
      <c r="A1013" s="57" t="s">
        <v>3051</v>
      </c>
      <c r="B1013" s="57" t="s">
        <v>200</v>
      </c>
      <c r="C1013" s="57" t="s">
        <v>3088</v>
      </c>
      <c r="D1013" s="57" t="s">
        <v>3089</v>
      </c>
      <c r="E1013" s="57"/>
      <c r="F1013" s="58">
        <v>24000.0</v>
      </c>
      <c r="G1013" s="57" t="s">
        <v>251</v>
      </c>
      <c r="H1013" s="59" t="s">
        <v>3055</v>
      </c>
      <c r="I1013" s="59" t="s">
        <v>953</v>
      </c>
      <c r="J1013" s="61"/>
      <c r="K1013" s="61"/>
      <c r="L1013" s="42"/>
      <c r="M1013" s="42"/>
      <c r="N1013" s="42"/>
      <c r="O1013" s="42"/>
      <c r="P1013" s="42"/>
      <c r="Q1013" s="42"/>
      <c r="R1013" s="42"/>
      <c r="S1013" s="42"/>
      <c r="T1013" s="42"/>
      <c r="U1013" s="42"/>
      <c r="V1013" s="42"/>
      <c r="W1013" s="42"/>
      <c r="X1013" s="42"/>
      <c r="Y1013" s="42"/>
      <c r="Z1013" s="42"/>
    </row>
    <row r="1014" ht="57.0" customHeight="1">
      <c r="A1014" s="57" t="s">
        <v>3051</v>
      </c>
      <c r="B1014" s="57" t="s">
        <v>200</v>
      </c>
      <c r="C1014" s="57" t="s">
        <v>3090</v>
      </c>
      <c r="D1014" s="57" t="s">
        <v>3091</v>
      </c>
      <c r="E1014" s="57"/>
      <c r="F1014" s="58">
        <v>10000.0</v>
      </c>
      <c r="G1014" s="57" t="s">
        <v>251</v>
      </c>
      <c r="H1014" s="59" t="s">
        <v>3055</v>
      </c>
      <c r="I1014" s="59" t="s">
        <v>953</v>
      </c>
      <c r="J1014" s="61"/>
      <c r="K1014" s="61"/>
      <c r="L1014" s="42"/>
      <c r="M1014" s="42"/>
      <c r="N1014" s="42"/>
      <c r="O1014" s="42"/>
      <c r="P1014" s="42"/>
      <c r="Q1014" s="42"/>
      <c r="R1014" s="42"/>
      <c r="S1014" s="42"/>
      <c r="T1014" s="42"/>
      <c r="U1014" s="42"/>
      <c r="V1014" s="42"/>
      <c r="W1014" s="42"/>
      <c r="X1014" s="42"/>
      <c r="Y1014" s="42"/>
      <c r="Z1014" s="42"/>
    </row>
    <row r="1015" ht="57.0" customHeight="1">
      <c r="A1015" s="57" t="s">
        <v>3051</v>
      </c>
      <c r="B1015" s="57" t="s">
        <v>200</v>
      </c>
      <c r="C1015" s="57" t="s">
        <v>3092</v>
      </c>
      <c r="D1015" s="57" t="s">
        <v>3093</v>
      </c>
      <c r="E1015" s="57"/>
      <c r="F1015" s="58">
        <v>22000.0</v>
      </c>
      <c r="G1015" s="57" t="s">
        <v>251</v>
      </c>
      <c r="H1015" s="59" t="s">
        <v>3055</v>
      </c>
      <c r="I1015" s="59" t="s">
        <v>953</v>
      </c>
      <c r="J1015" s="61"/>
      <c r="K1015" s="61"/>
      <c r="L1015" s="42"/>
      <c r="M1015" s="42"/>
      <c r="N1015" s="42"/>
      <c r="O1015" s="42"/>
      <c r="P1015" s="42"/>
      <c r="Q1015" s="42"/>
      <c r="R1015" s="42"/>
      <c r="S1015" s="42"/>
      <c r="T1015" s="42"/>
      <c r="U1015" s="42"/>
      <c r="V1015" s="42"/>
      <c r="W1015" s="42"/>
      <c r="X1015" s="42"/>
      <c r="Y1015" s="42"/>
      <c r="Z1015" s="42"/>
    </row>
    <row r="1016" ht="57.0" customHeight="1">
      <c r="A1016" s="57" t="s">
        <v>3051</v>
      </c>
      <c r="B1016" s="57" t="s">
        <v>200</v>
      </c>
      <c r="C1016" s="57" t="s">
        <v>3094</v>
      </c>
      <c r="D1016" s="57" t="s">
        <v>3095</v>
      </c>
      <c r="E1016" s="57"/>
      <c r="F1016" s="58">
        <v>24000.0</v>
      </c>
      <c r="G1016" s="57" t="s">
        <v>251</v>
      </c>
      <c r="H1016" s="59" t="s">
        <v>3055</v>
      </c>
      <c r="I1016" s="59" t="s">
        <v>953</v>
      </c>
      <c r="J1016" s="61"/>
      <c r="K1016" s="61"/>
      <c r="L1016" s="42"/>
      <c r="M1016" s="42"/>
      <c r="N1016" s="42"/>
      <c r="O1016" s="42"/>
      <c r="P1016" s="42"/>
      <c r="Q1016" s="42"/>
      <c r="R1016" s="42"/>
      <c r="S1016" s="42"/>
      <c r="T1016" s="42"/>
      <c r="U1016" s="42"/>
      <c r="V1016" s="42"/>
      <c r="W1016" s="42"/>
      <c r="X1016" s="42"/>
      <c r="Y1016" s="42"/>
      <c r="Z1016" s="42"/>
    </row>
    <row r="1017" ht="57.0" customHeight="1">
      <c r="A1017" s="57" t="s">
        <v>3051</v>
      </c>
      <c r="B1017" s="57" t="s">
        <v>200</v>
      </c>
      <c r="C1017" s="57" t="s">
        <v>3096</v>
      </c>
      <c r="D1017" s="57" t="s">
        <v>3097</v>
      </c>
      <c r="E1017" s="57"/>
      <c r="F1017" s="58">
        <v>27000.0</v>
      </c>
      <c r="G1017" s="57" t="s">
        <v>251</v>
      </c>
      <c r="H1017" s="59" t="s">
        <v>3055</v>
      </c>
      <c r="I1017" s="59" t="s">
        <v>953</v>
      </c>
      <c r="J1017" s="61"/>
      <c r="K1017" s="61"/>
      <c r="L1017" s="42"/>
      <c r="M1017" s="42"/>
      <c r="N1017" s="42"/>
      <c r="O1017" s="42"/>
      <c r="P1017" s="42"/>
      <c r="Q1017" s="42"/>
      <c r="R1017" s="42"/>
      <c r="S1017" s="42"/>
      <c r="T1017" s="42"/>
      <c r="U1017" s="42"/>
      <c r="V1017" s="42"/>
      <c r="W1017" s="42"/>
      <c r="X1017" s="42"/>
      <c r="Y1017" s="42"/>
      <c r="Z1017" s="42"/>
    </row>
    <row r="1018" ht="57.0" customHeight="1">
      <c r="A1018" s="57" t="s">
        <v>3051</v>
      </c>
      <c r="B1018" s="57" t="s">
        <v>200</v>
      </c>
      <c r="C1018" s="57" t="s">
        <v>3098</v>
      </c>
      <c r="D1018" s="57" t="s">
        <v>3099</v>
      </c>
      <c r="E1018" s="57"/>
      <c r="F1018" s="58">
        <v>4100.0</v>
      </c>
      <c r="G1018" s="57" t="s">
        <v>251</v>
      </c>
      <c r="H1018" s="59" t="s">
        <v>3055</v>
      </c>
      <c r="I1018" s="59" t="s">
        <v>953</v>
      </c>
      <c r="J1018" s="61"/>
      <c r="K1018" s="61"/>
      <c r="L1018" s="42"/>
      <c r="M1018" s="42"/>
      <c r="N1018" s="42"/>
      <c r="O1018" s="42"/>
      <c r="P1018" s="42"/>
      <c r="Q1018" s="42"/>
      <c r="R1018" s="42"/>
      <c r="S1018" s="42"/>
      <c r="T1018" s="42"/>
      <c r="U1018" s="42"/>
      <c r="V1018" s="42"/>
      <c r="W1018" s="42"/>
      <c r="X1018" s="42"/>
      <c r="Y1018" s="42"/>
      <c r="Z1018" s="42"/>
    </row>
    <row r="1019" ht="57.0" customHeight="1">
      <c r="A1019" s="57" t="s">
        <v>3051</v>
      </c>
      <c r="B1019" s="57" t="s">
        <v>200</v>
      </c>
      <c r="C1019" s="57" t="s">
        <v>3100</v>
      </c>
      <c r="D1019" s="57" t="s">
        <v>3101</v>
      </c>
      <c r="E1019" s="57"/>
      <c r="F1019" s="58">
        <v>3400.0</v>
      </c>
      <c r="G1019" s="57" t="s">
        <v>251</v>
      </c>
      <c r="H1019" s="59" t="s">
        <v>3055</v>
      </c>
      <c r="I1019" s="59" t="s">
        <v>953</v>
      </c>
      <c r="J1019" s="61"/>
      <c r="K1019" s="61"/>
      <c r="L1019" s="42"/>
      <c r="M1019" s="42"/>
      <c r="N1019" s="42"/>
      <c r="O1019" s="42"/>
      <c r="P1019" s="42"/>
      <c r="Q1019" s="42"/>
      <c r="R1019" s="42"/>
      <c r="S1019" s="42"/>
      <c r="T1019" s="42"/>
      <c r="U1019" s="42"/>
      <c r="V1019" s="42"/>
      <c r="W1019" s="42"/>
      <c r="X1019" s="42"/>
      <c r="Y1019" s="42"/>
      <c r="Z1019" s="42"/>
    </row>
    <row r="1020" ht="57.0" customHeight="1">
      <c r="A1020" s="57" t="s">
        <v>3051</v>
      </c>
      <c r="B1020" s="57" t="s">
        <v>200</v>
      </c>
      <c r="C1020" s="57" t="s">
        <v>3102</v>
      </c>
      <c r="D1020" s="57" t="s">
        <v>3103</v>
      </c>
      <c r="E1020" s="57"/>
      <c r="F1020" s="58">
        <v>16000.0</v>
      </c>
      <c r="G1020" s="57" t="s">
        <v>251</v>
      </c>
      <c r="H1020" s="59" t="s">
        <v>3055</v>
      </c>
      <c r="I1020" s="59" t="s">
        <v>953</v>
      </c>
      <c r="J1020" s="61"/>
      <c r="K1020" s="61"/>
      <c r="L1020" s="42"/>
      <c r="M1020" s="42"/>
      <c r="N1020" s="42"/>
      <c r="O1020" s="42"/>
      <c r="P1020" s="42"/>
      <c r="Q1020" s="42"/>
      <c r="R1020" s="42"/>
      <c r="S1020" s="42"/>
      <c r="T1020" s="42"/>
      <c r="U1020" s="42"/>
      <c r="V1020" s="42"/>
      <c r="W1020" s="42"/>
      <c r="X1020" s="42"/>
      <c r="Y1020" s="42"/>
      <c r="Z1020" s="42"/>
    </row>
    <row r="1021" ht="57.0" customHeight="1">
      <c r="A1021" s="57" t="s">
        <v>3051</v>
      </c>
      <c r="B1021" s="57" t="s">
        <v>200</v>
      </c>
      <c r="C1021" s="57" t="s">
        <v>3104</v>
      </c>
      <c r="D1021" s="57" t="s">
        <v>3105</v>
      </c>
      <c r="E1021" s="57"/>
      <c r="F1021" s="58">
        <v>53000.0</v>
      </c>
      <c r="G1021" s="57" t="s">
        <v>251</v>
      </c>
      <c r="H1021" s="59" t="s">
        <v>3055</v>
      </c>
      <c r="I1021" s="59" t="s">
        <v>953</v>
      </c>
      <c r="J1021" s="61"/>
      <c r="K1021" s="61"/>
      <c r="L1021" s="42"/>
      <c r="M1021" s="42"/>
      <c r="N1021" s="42"/>
      <c r="O1021" s="42"/>
      <c r="P1021" s="42"/>
      <c r="Q1021" s="42"/>
      <c r="R1021" s="42"/>
      <c r="S1021" s="42"/>
      <c r="T1021" s="42"/>
      <c r="U1021" s="42"/>
      <c r="V1021" s="42"/>
      <c r="W1021" s="42"/>
      <c r="X1021" s="42"/>
      <c r="Y1021" s="42"/>
      <c r="Z1021" s="42"/>
    </row>
    <row r="1022" ht="57.0" customHeight="1">
      <c r="A1022" s="57" t="s">
        <v>3051</v>
      </c>
      <c r="B1022" s="57" t="s">
        <v>200</v>
      </c>
      <c r="C1022" s="57" t="s">
        <v>3106</v>
      </c>
      <c r="D1022" s="57" t="s">
        <v>3107</v>
      </c>
      <c r="E1022" s="57"/>
      <c r="F1022" s="58">
        <v>8000.0</v>
      </c>
      <c r="G1022" s="57" t="s">
        <v>251</v>
      </c>
      <c r="H1022" s="59" t="s">
        <v>3055</v>
      </c>
      <c r="I1022" s="59" t="s">
        <v>953</v>
      </c>
      <c r="J1022" s="61"/>
      <c r="K1022" s="61"/>
      <c r="L1022" s="42"/>
      <c r="M1022" s="42"/>
      <c r="N1022" s="42"/>
      <c r="O1022" s="42"/>
      <c r="P1022" s="42"/>
      <c r="Q1022" s="42"/>
      <c r="R1022" s="42"/>
      <c r="S1022" s="42"/>
      <c r="T1022" s="42"/>
      <c r="U1022" s="42"/>
      <c r="V1022" s="42"/>
      <c r="W1022" s="42"/>
      <c r="X1022" s="42"/>
      <c r="Y1022" s="42"/>
      <c r="Z1022" s="42"/>
    </row>
    <row r="1023" ht="57.0" customHeight="1">
      <c r="A1023" s="57" t="s">
        <v>3051</v>
      </c>
      <c r="B1023" s="57" t="s">
        <v>200</v>
      </c>
      <c r="C1023" s="57" t="s">
        <v>3108</v>
      </c>
      <c r="D1023" s="57" t="s">
        <v>3109</v>
      </c>
      <c r="E1023" s="57"/>
      <c r="F1023" s="58">
        <v>11000.0</v>
      </c>
      <c r="G1023" s="57" t="s">
        <v>251</v>
      </c>
      <c r="H1023" s="59" t="s">
        <v>3055</v>
      </c>
      <c r="I1023" s="59" t="s">
        <v>953</v>
      </c>
      <c r="J1023" s="61"/>
      <c r="K1023" s="61"/>
      <c r="L1023" s="42"/>
      <c r="M1023" s="42"/>
      <c r="N1023" s="42"/>
      <c r="O1023" s="42"/>
      <c r="P1023" s="42"/>
      <c r="Q1023" s="42"/>
      <c r="R1023" s="42"/>
      <c r="S1023" s="42"/>
      <c r="T1023" s="42"/>
      <c r="U1023" s="42"/>
      <c r="V1023" s="42"/>
      <c r="W1023" s="42"/>
      <c r="X1023" s="42"/>
      <c r="Y1023" s="42"/>
      <c r="Z1023" s="42"/>
    </row>
    <row r="1024" ht="57.0" customHeight="1">
      <c r="A1024" s="57" t="s">
        <v>3051</v>
      </c>
      <c r="B1024" s="57" t="s">
        <v>200</v>
      </c>
      <c r="C1024" s="57" t="s">
        <v>3110</v>
      </c>
      <c r="D1024" s="57" t="s">
        <v>3111</v>
      </c>
      <c r="E1024" s="57"/>
      <c r="F1024" s="58">
        <v>16000.0</v>
      </c>
      <c r="G1024" s="57" t="s">
        <v>251</v>
      </c>
      <c r="H1024" s="59" t="s">
        <v>3055</v>
      </c>
      <c r="I1024" s="59" t="s">
        <v>953</v>
      </c>
      <c r="J1024" s="61"/>
      <c r="K1024" s="61"/>
      <c r="L1024" s="42"/>
      <c r="M1024" s="42"/>
      <c r="N1024" s="42"/>
      <c r="O1024" s="42"/>
      <c r="P1024" s="42"/>
      <c r="Q1024" s="42"/>
      <c r="R1024" s="42"/>
      <c r="S1024" s="42"/>
      <c r="T1024" s="42"/>
      <c r="U1024" s="42"/>
      <c r="V1024" s="42"/>
      <c r="W1024" s="42"/>
      <c r="X1024" s="42"/>
      <c r="Y1024" s="42"/>
      <c r="Z1024" s="42"/>
    </row>
    <row r="1025" ht="57.0" customHeight="1">
      <c r="A1025" s="57" t="s">
        <v>3051</v>
      </c>
      <c r="B1025" s="57" t="s">
        <v>200</v>
      </c>
      <c r="C1025" s="57" t="s">
        <v>3112</v>
      </c>
      <c r="D1025" s="57" t="s">
        <v>3113</v>
      </c>
      <c r="E1025" s="57"/>
      <c r="F1025" s="58">
        <v>40000.0</v>
      </c>
      <c r="G1025" s="57" t="s">
        <v>251</v>
      </c>
      <c r="H1025" s="59" t="s">
        <v>3055</v>
      </c>
      <c r="I1025" s="59" t="s">
        <v>953</v>
      </c>
      <c r="J1025" s="61"/>
      <c r="K1025" s="61"/>
      <c r="L1025" s="42"/>
      <c r="M1025" s="42"/>
      <c r="N1025" s="42"/>
      <c r="O1025" s="42"/>
      <c r="P1025" s="42"/>
      <c r="Q1025" s="42"/>
      <c r="R1025" s="42"/>
      <c r="S1025" s="42"/>
      <c r="T1025" s="42"/>
      <c r="U1025" s="42"/>
      <c r="V1025" s="42"/>
      <c r="W1025" s="42"/>
      <c r="X1025" s="42"/>
      <c r="Y1025" s="42"/>
      <c r="Z1025" s="42"/>
    </row>
    <row r="1026" ht="57.0" customHeight="1">
      <c r="A1026" s="57" t="s">
        <v>3051</v>
      </c>
      <c r="B1026" s="57" t="s">
        <v>200</v>
      </c>
      <c r="C1026" s="57" t="s">
        <v>3114</v>
      </c>
      <c r="D1026" s="57" t="s">
        <v>3115</v>
      </c>
      <c r="E1026" s="57"/>
      <c r="F1026" s="58">
        <v>11000.0</v>
      </c>
      <c r="G1026" s="57" t="s">
        <v>251</v>
      </c>
      <c r="H1026" s="59" t="s">
        <v>3055</v>
      </c>
      <c r="I1026" s="59" t="s">
        <v>953</v>
      </c>
      <c r="J1026" s="61"/>
      <c r="K1026" s="61"/>
      <c r="L1026" s="42"/>
      <c r="M1026" s="42"/>
      <c r="N1026" s="42"/>
      <c r="O1026" s="42"/>
      <c r="P1026" s="42"/>
      <c r="Q1026" s="42"/>
      <c r="R1026" s="42"/>
      <c r="S1026" s="42"/>
      <c r="T1026" s="42"/>
      <c r="U1026" s="42"/>
      <c r="V1026" s="42"/>
      <c r="W1026" s="42"/>
      <c r="X1026" s="42"/>
      <c r="Y1026" s="42"/>
      <c r="Z1026" s="42"/>
    </row>
    <row r="1027" ht="57.0" customHeight="1">
      <c r="A1027" s="57" t="s">
        <v>3051</v>
      </c>
      <c r="B1027" s="57" t="s">
        <v>200</v>
      </c>
      <c r="C1027" s="57" t="s">
        <v>3116</v>
      </c>
      <c r="D1027" s="57" t="s">
        <v>3117</v>
      </c>
      <c r="E1027" s="57"/>
      <c r="F1027" s="58">
        <v>15000.0</v>
      </c>
      <c r="G1027" s="57" t="s">
        <v>251</v>
      </c>
      <c r="H1027" s="59" t="s">
        <v>3055</v>
      </c>
      <c r="I1027" s="59" t="s">
        <v>953</v>
      </c>
      <c r="J1027" s="61"/>
      <c r="K1027" s="61"/>
      <c r="L1027" s="42"/>
      <c r="M1027" s="42"/>
      <c r="N1027" s="42"/>
      <c r="O1027" s="42"/>
      <c r="P1027" s="42"/>
      <c r="Q1027" s="42"/>
      <c r="R1027" s="42"/>
      <c r="S1027" s="42"/>
      <c r="T1027" s="42"/>
      <c r="U1027" s="42"/>
      <c r="V1027" s="42"/>
      <c r="W1027" s="42"/>
      <c r="X1027" s="42"/>
      <c r="Y1027" s="42"/>
      <c r="Z1027" s="42"/>
    </row>
    <row r="1028" ht="57.0" customHeight="1">
      <c r="A1028" s="57" t="s">
        <v>3051</v>
      </c>
      <c r="B1028" s="57" t="s">
        <v>200</v>
      </c>
      <c r="C1028" s="57" t="s">
        <v>3118</v>
      </c>
      <c r="D1028" s="57" t="s">
        <v>3119</v>
      </c>
      <c r="E1028" s="57"/>
      <c r="F1028" s="58">
        <v>23000.0</v>
      </c>
      <c r="G1028" s="57" t="s">
        <v>251</v>
      </c>
      <c r="H1028" s="59" t="s">
        <v>3055</v>
      </c>
      <c r="I1028" s="59" t="s">
        <v>953</v>
      </c>
      <c r="J1028" s="61"/>
      <c r="K1028" s="61"/>
      <c r="L1028" s="42"/>
      <c r="M1028" s="42"/>
      <c r="N1028" s="42"/>
      <c r="O1028" s="42"/>
      <c r="P1028" s="42"/>
      <c r="Q1028" s="42"/>
      <c r="R1028" s="42"/>
      <c r="S1028" s="42"/>
      <c r="T1028" s="42"/>
      <c r="U1028" s="42"/>
      <c r="V1028" s="42"/>
      <c r="W1028" s="42"/>
      <c r="X1028" s="42"/>
      <c r="Y1028" s="42"/>
      <c r="Z1028" s="42"/>
    </row>
    <row r="1029" ht="57.0" customHeight="1">
      <c r="A1029" s="57" t="s">
        <v>3051</v>
      </c>
      <c r="B1029" s="57" t="s">
        <v>200</v>
      </c>
      <c r="C1029" s="57" t="s">
        <v>3120</v>
      </c>
      <c r="D1029" s="57" t="s">
        <v>3121</v>
      </c>
      <c r="E1029" s="57"/>
      <c r="F1029" s="58">
        <v>33000.0</v>
      </c>
      <c r="G1029" s="57" t="s">
        <v>251</v>
      </c>
      <c r="H1029" s="59" t="s">
        <v>3055</v>
      </c>
      <c r="I1029" s="59" t="s">
        <v>953</v>
      </c>
      <c r="J1029" s="61"/>
      <c r="K1029" s="61"/>
      <c r="L1029" s="42"/>
      <c r="M1029" s="42"/>
      <c r="N1029" s="42"/>
      <c r="O1029" s="42"/>
      <c r="P1029" s="42"/>
      <c r="Q1029" s="42"/>
      <c r="R1029" s="42"/>
      <c r="S1029" s="42"/>
      <c r="T1029" s="42"/>
      <c r="U1029" s="42"/>
      <c r="V1029" s="42"/>
      <c r="W1029" s="42"/>
      <c r="X1029" s="42"/>
      <c r="Y1029" s="42"/>
      <c r="Z1029" s="42"/>
    </row>
    <row r="1030" ht="57.0" customHeight="1">
      <c r="A1030" s="57" t="s">
        <v>3051</v>
      </c>
      <c r="B1030" s="57" t="s">
        <v>200</v>
      </c>
      <c r="C1030" s="57" t="s">
        <v>3122</v>
      </c>
      <c r="D1030" s="57" t="s">
        <v>3123</v>
      </c>
      <c r="E1030" s="57"/>
      <c r="F1030" s="58">
        <v>2500.0</v>
      </c>
      <c r="G1030" s="57" t="s">
        <v>251</v>
      </c>
      <c r="H1030" s="59" t="s">
        <v>3055</v>
      </c>
      <c r="I1030" s="59" t="s">
        <v>953</v>
      </c>
      <c r="J1030" s="61"/>
      <c r="K1030" s="61"/>
      <c r="L1030" s="42"/>
      <c r="M1030" s="42"/>
      <c r="N1030" s="42"/>
      <c r="O1030" s="42"/>
      <c r="P1030" s="42"/>
      <c r="Q1030" s="42"/>
      <c r="R1030" s="42"/>
      <c r="S1030" s="42"/>
      <c r="T1030" s="42"/>
      <c r="U1030" s="42"/>
      <c r="V1030" s="42"/>
      <c r="W1030" s="42"/>
      <c r="X1030" s="42"/>
      <c r="Y1030" s="42"/>
      <c r="Z1030" s="42"/>
    </row>
    <row r="1031" ht="57.0" customHeight="1">
      <c r="A1031" s="57" t="s">
        <v>3051</v>
      </c>
      <c r="B1031" s="57" t="s">
        <v>200</v>
      </c>
      <c r="C1031" s="57" t="s">
        <v>3124</v>
      </c>
      <c r="D1031" s="57" t="s">
        <v>3125</v>
      </c>
      <c r="E1031" s="57"/>
      <c r="F1031" s="58">
        <v>12000.0</v>
      </c>
      <c r="G1031" s="57" t="s">
        <v>251</v>
      </c>
      <c r="H1031" s="59" t="s">
        <v>3055</v>
      </c>
      <c r="I1031" s="59" t="s">
        <v>953</v>
      </c>
      <c r="J1031" s="61"/>
      <c r="K1031" s="61"/>
      <c r="L1031" s="42"/>
      <c r="M1031" s="42"/>
      <c r="N1031" s="42"/>
      <c r="O1031" s="42"/>
      <c r="P1031" s="42"/>
      <c r="Q1031" s="42"/>
      <c r="R1031" s="42"/>
      <c r="S1031" s="42"/>
      <c r="T1031" s="42"/>
      <c r="U1031" s="42"/>
      <c r="V1031" s="42"/>
      <c r="W1031" s="42"/>
      <c r="X1031" s="42"/>
      <c r="Y1031" s="42"/>
      <c r="Z1031" s="42"/>
    </row>
    <row r="1032" ht="57.0" customHeight="1">
      <c r="A1032" s="57" t="s">
        <v>3051</v>
      </c>
      <c r="B1032" s="57" t="s">
        <v>200</v>
      </c>
      <c r="C1032" s="57" t="s">
        <v>3126</v>
      </c>
      <c r="D1032" s="57" t="s">
        <v>3127</v>
      </c>
      <c r="E1032" s="57"/>
      <c r="F1032" s="58">
        <v>29000.0</v>
      </c>
      <c r="G1032" s="57" t="s">
        <v>251</v>
      </c>
      <c r="H1032" s="59" t="s">
        <v>3055</v>
      </c>
      <c r="I1032" s="59" t="s">
        <v>953</v>
      </c>
      <c r="J1032" s="61"/>
      <c r="K1032" s="61"/>
      <c r="L1032" s="42"/>
      <c r="M1032" s="42"/>
      <c r="N1032" s="42"/>
      <c r="O1032" s="42"/>
      <c r="P1032" s="42"/>
      <c r="Q1032" s="42"/>
      <c r="R1032" s="42"/>
      <c r="S1032" s="42"/>
      <c r="T1032" s="42"/>
      <c r="U1032" s="42"/>
      <c r="V1032" s="42"/>
      <c r="W1032" s="42"/>
      <c r="X1032" s="42"/>
      <c r="Y1032" s="42"/>
      <c r="Z1032" s="42"/>
    </row>
    <row r="1033" ht="57.0" customHeight="1">
      <c r="A1033" s="57" t="s">
        <v>3051</v>
      </c>
      <c r="B1033" s="57" t="s">
        <v>200</v>
      </c>
      <c r="C1033" s="57" t="s">
        <v>3128</v>
      </c>
      <c r="D1033" s="57" t="s">
        <v>3129</v>
      </c>
      <c r="E1033" s="57"/>
      <c r="F1033" s="58">
        <v>260000.0</v>
      </c>
      <c r="G1033" s="57" t="s">
        <v>251</v>
      </c>
      <c r="H1033" s="59" t="s">
        <v>3055</v>
      </c>
      <c r="I1033" s="59" t="s">
        <v>953</v>
      </c>
      <c r="J1033" s="61"/>
      <c r="K1033" s="61"/>
      <c r="L1033" s="42"/>
      <c r="M1033" s="42"/>
      <c r="N1033" s="42"/>
      <c r="O1033" s="42"/>
      <c r="P1033" s="42"/>
      <c r="Q1033" s="42"/>
      <c r="R1033" s="42"/>
      <c r="S1033" s="42"/>
      <c r="T1033" s="42"/>
      <c r="U1033" s="42"/>
      <c r="V1033" s="42"/>
      <c r="W1033" s="42"/>
      <c r="X1033" s="42"/>
      <c r="Y1033" s="42"/>
      <c r="Z1033" s="42"/>
    </row>
    <row r="1034" ht="85.5" customHeight="1">
      <c r="A1034" s="57" t="s">
        <v>3051</v>
      </c>
      <c r="B1034" s="57" t="s">
        <v>200</v>
      </c>
      <c r="C1034" s="57" t="s">
        <v>3130</v>
      </c>
      <c r="D1034" s="57" t="s">
        <v>3131</v>
      </c>
      <c r="E1034" s="57"/>
      <c r="F1034" s="58">
        <v>5500.0</v>
      </c>
      <c r="G1034" s="57" t="s">
        <v>467</v>
      </c>
      <c r="H1034" s="59" t="s">
        <v>3055</v>
      </c>
      <c r="I1034" s="59" t="s">
        <v>953</v>
      </c>
      <c r="J1034" s="61"/>
      <c r="K1034" s="61"/>
      <c r="L1034" s="42"/>
      <c r="M1034" s="42"/>
      <c r="N1034" s="42"/>
      <c r="O1034" s="42"/>
      <c r="P1034" s="42"/>
      <c r="Q1034" s="42"/>
      <c r="R1034" s="42"/>
      <c r="S1034" s="42"/>
      <c r="T1034" s="42"/>
      <c r="U1034" s="42"/>
      <c r="V1034" s="42"/>
      <c r="W1034" s="42"/>
      <c r="X1034" s="42"/>
      <c r="Y1034" s="42"/>
      <c r="Z1034" s="42"/>
    </row>
    <row r="1035" ht="114.0" customHeight="1">
      <c r="A1035" s="57" t="s">
        <v>3051</v>
      </c>
      <c r="B1035" s="57" t="s">
        <v>200</v>
      </c>
      <c r="C1035" s="57" t="s">
        <v>3132</v>
      </c>
      <c r="D1035" s="57" t="s">
        <v>3133</v>
      </c>
      <c r="E1035" s="57"/>
      <c r="F1035" s="58">
        <v>45500.0</v>
      </c>
      <c r="G1035" s="57" t="s">
        <v>467</v>
      </c>
      <c r="H1035" s="59" t="s">
        <v>3055</v>
      </c>
      <c r="I1035" s="59" t="s">
        <v>953</v>
      </c>
      <c r="J1035" s="61"/>
      <c r="K1035" s="61"/>
      <c r="L1035" s="42"/>
      <c r="M1035" s="42"/>
      <c r="N1035" s="42"/>
      <c r="O1035" s="42"/>
      <c r="P1035" s="42"/>
      <c r="Q1035" s="42"/>
      <c r="R1035" s="42"/>
      <c r="S1035" s="42"/>
      <c r="T1035" s="42"/>
      <c r="U1035" s="42"/>
      <c r="V1035" s="42"/>
      <c r="W1035" s="42"/>
      <c r="X1035" s="42"/>
      <c r="Y1035" s="42"/>
      <c r="Z1035" s="42"/>
    </row>
    <row r="1036" ht="57.0" customHeight="1">
      <c r="A1036" s="57" t="s">
        <v>3051</v>
      </c>
      <c r="B1036" s="57" t="s">
        <v>200</v>
      </c>
      <c r="C1036" s="57" t="s">
        <v>3134</v>
      </c>
      <c r="D1036" s="57" t="s">
        <v>3135</v>
      </c>
      <c r="E1036" s="57"/>
      <c r="F1036" s="58">
        <v>18000.0</v>
      </c>
      <c r="G1036" s="57" t="s">
        <v>664</v>
      </c>
      <c r="H1036" s="59" t="s">
        <v>3055</v>
      </c>
      <c r="I1036" s="59" t="s">
        <v>953</v>
      </c>
      <c r="J1036" s="61"/>
      <c r="K1036" s="61"/>
      <c r="L1036" s="42"/>
      <c r="M1036" s="42"/>
      <c r="N1036" s="42"/>
      <c r="O1036" s="42"/>
      <c r="P1036" s="42"/>
      <c r="Q1036" s="42"/>
      <c r="R1036" s="42"/>
      <c r="S1036" s="42"/>
      <c r="T1036" s="42"/>
      <c r="U1036" s="42"/>
      <c r="V1036" s="42"/>
      <c r="W1036" s="42"/>
      <c r="X1036" s="42"/>
      <c r="Y1036" s="42"/>
      <c r="Z1036" s="42"/>
    </row>
    <row r="1037" ht="57.0" customHeight="1">
      <c r="A1037" s="57" t="s">
        <v>3051</v>
      </c>
      <c r="B1037" s="57" t="s">
        <v>200</v>
      </c>
      <c r="C1037" s="57" t="s">
        <v>3136</v>
      </c>
      <c r="D1037" s="57" t="s">
        <v>3137</v>
      </c>
      <c r="E1037" s="57"/>
      <c r="F1037" s="58">
        <v>22000.0</v>
      </c>
      <c r="G1037" s="57" t="s">
        <v>664</v>
      </c>
      <c r="H1037" s="59" t="s">
        <v>3055</v>
      </c>
      <c r="I1037" s="59" t="s">
        <v>953</v>
      </c>
      <c r="J1037" s="61"/>
      <c r="K1037" s="61"/>
      <c r="L1037" s="42"/>
      <c r="M1037" s="42"/>
      <c r="N1037" s="42"/>
      <c r="O1037" s="42"/>
      <c r="P1037" s="42"/>
      <c r="Q1037" s="42"/>
      <c r="R1037" s="42"/>
      <c r="S1037" s="42"/>
      <c r="T1037" s="42"/>
      <c r="U1037" s="42"/>
      <c r="V1037" s="42"/>
      <c r="W1037" s="42"/>
      <c r="X1037" s="42"/>
      <c r="Y1037" s="42"/>
      <c r="Z1037" s="42"/>
    </row>
    <row r="1038" ht="57.0" customHeight="1">
      <c r="A1038" s="57" t="s">
        <v>3051</v>
      </c>
      <c r="B1038" s="57" t="s">
        <v>200</v>
      </c>
      <c r="C1038" s="57" t="s">
        <v>3138</v>
      </c>
      <c r="D1038" s="57" t="s">
        <v>3139</v>
      </c>
      <c r="E1038" s="57"/>
      <c r="F1038" s="58">
        <v>2400.0</v>
      </c>
      <c r="G1038" s="57" t="s">
        <v>251</v>
      </c>
      <c r="H1038" s="59" t="s">
        <v>3055</v>
      </c>
      <c r="I1038" s="59" t="s">
        <v>953</v>
      </c>
      <c r="J1038" s="61"/>
      <c r="K1038" s="61"/>
      <c r="L1038" s="42"/>
      <c r="M1038" s="42"/>
      <c r="N1038" s="42"/>
      <c r="O1038" s="42"/>
      <c r="P1038" s="42"/>
      <c r="Q1038" s="42"/>
      <c r="R1038" s="42"/>
      <c r="S1038" s="42"/>
      <c r="T1038" s="42"/>
      <c r="U1038" s="42"/>
      <c r="V1038" s="42"/>
      <c r="W1038" s="42"/>
      <c r="X1038" s="42"/>
      <c r="Y1038" s="42"/>
      <c r="Z1038" s="42"/>
    </row>
    <row r="1039" ht="57.0" customHeight="1">
      <c r="A1039" s="57" t="s">
        <v>3051</v>
      </c>
      <c r="B1039" s="57" t="s">
        <v>200</v>
      </c>
      <c r="C1039" s="57" t="s">
        <v>3140</v>
      </c>
      <c r="D1039" s="57" t="s">
        <v>3141</v>
      </c>
      <c r="E1039" s="57"/>
      <c r="F1039" s="58">
        <v>3500.0</v>
      </c>
      <c r="G1039" s="57" t="s">
        <v>251</v>
      </c>
      <c r="H1039" s="59" t="s">
        <v>3055</v>
      </c>
      <c r="I1039" s="59" t="s">
        <v>953</v>
      </c>
      <c r="J1039" s="61"/>
      <c r="K1039" s="61"/>
      <c r="L1039" s="42"/>
      <c r="M1039" s="42"/>
      <c r="N1039" s="42"/>
      <c r="O1039" s="42"/>
      <c r="P1039" s="42"/>
      <c r="Q1039" s="42"/>
      <c r="R1039" s="42"/>
      <c r="S1039" s="42"/>
      <c r="T1039" s="42"/>
      <c r="U1039" s="42"/>
      <c r="V1039" s="42"/>
      <c r="W1039" s="42"/>
      <c r="X1039" s="42"/>
      <c r="Y1039" s="42"/>
      <c r="Z1039" s="42"/>
    </row>
    <row r="1040" ht="57.0" customHeight="1">
      <c r="A1040" s="57" t="s">
        <v>3051</v>
      </c>
      <c r="B1040" s="57" t="s">
        <v>200</v>
      </c>
      <c r="C1040" s="57" t="s">
        <v>3142</v>
      </c>
      <c r="D1040" s="57" t="s">
        <v>3143</v>
      </c>
      <c r="E1040" s="57"/>
      <c r="F1040" s="58">
        <v>13000.0</v>
      </c>
      <c r="G1040" s="57" t="s">
        <v>467</v>
      </c>
      <c r="H1040" s="59" t="s">
        <v>3055</v>
      </c>
      <c r="I1040" s="59" t="s">
        <v>953</v>
      </c>
      <c r="J1040" s="61"/>
      <c r="K1040" s="61"/>
      <c r="L1040" s="42"/>
      <c r="M1040" s="42"/>
      <c r="N1040" s="42"/>
      <c r="O1040" s="42"/>
      <c r="P1040" s="42"/>
      <c r="Q1040" s="42"/>
      <c r="R1040" s="42"/>
      <c r="S1040" s="42"/>
      <c r="T1040" s="42"/>
      <c r="U1040" s="42"/>
      <c r="V1040" s="42"/>
      <c r="W1040" s="42"/>
      <c r="X1040" s="42"/>
      <c r="Y1040" s="42"/>
      <c r="Z1040" s="42"/>
    </row>
    <row r="1041" ht="57.0" customHeight="1">
      <c r="A1041" s="57" t="s">
        <v>3051</v>
      </c>
      <c r="B1041" s="57" t="s">
        <v>200</v>
      </c>
      <c r="C1041" s="57" t="s">
        <v>3144</v>
      </c>
      <c r="D1041" s="57" t="s">
        <v>3145</v>
      </c>
      <c r="E1041" s="57"/>
      <c r="F1041" s="58">
        <v>100000.0</v>
      </c>
      <c r="G1041" s="57" t="s">
        <v>467</v>
      </c>
      <c r="H1041" s="59" t="s">
        <v>3055</v>
      </c>
      <c r="I1041" s="59" t="s">
        <v>953</v>
      </c>
      <c r="J1041" s="61"/>
      <c r="K1041" s="61"/>
      <c r="L1041" s="42"/>
      <c r="M1041" s="42"/>
      <c r="N1041" s="42"/>
      <c r="O1041" s="42"/>
      <c r="P1041" s="42"/>
      <c r="Q1041" s="42"/>
      <c r="R1041" s="42"/>
      <c r="S1041" s="42"/>
      <c r="T1041" s="42"/>
      <c r="U1041" s="42"/>
      <c r="V1041" s="42"/>
      <c r="W1041" s="42"/>
      <c r="X1041" s="42"/>
      <c r="Y1041" s="42"/>
      <c r="Z1041" s="42"/>
    </row>
    <row r="1042" ht="57.0" customHeight="1">
      <c r="A1042" s="57" t="s">
        <v>3051</v>
      </c>
      <c r="B1042" s="57" t="s">
        <v>200</v>
      </c>
      <c r="C1042" s="57" t="s">
        <v>3146</v>
      </c>
      <c r="D1042" s="57" t="s">
        <v>3147</v>
      </c>
      <c r="E1042" s="57" t="s">
        <v>3148</v>
      </c>
      <c r="F1042" s="58">
        <v>4000.0</v>
      </c>
      <c r="G1042" s="57" t="s">
        <v>251</v>
      </c>
      <c r="H1042" s="59" t="s">
        <v>3055</v>
      </c>
      <c r="I1042" s="59" t="s">
        <v>953</v>
      </c>
      <c r="J1042" s="61"/>
      <c r="K1042" s="61"/>
      <c r="L1042" s="42"/>
      <c r="M1042" s="42"/>
      <c r="N1042" s="42"/>
      <c r="O1042" s="42"/>
      <c r="P1042" s="42"/>
      <c r="Q1042" s="42"/>
      <c r="R1042" s="42"/>
      <c r="S1042" s="42"/>
      <c r="T1042" s="42"/>
      <c r="U1042" s="42"/>
      <c r="V1042" s="42"/>
      <c r="W1042" s="42"/>
      <c r="X1042" s="42"/>
      <c r="Y1042" s="42"/>
      <c r="Z1042" s="42"/>
    </row>
    <row r="1043" ht="57.0" customHeight="1">
      <c r="A1043" s="57" t="s">
        <v>3051</v>
      </c>
      <c r="B1043" s="57" t="s">
        <v>200</v>
      </c>
      <c r="C1043" s="57" t="s">
        <v>3149</v>
      </c>
      <c r="D1043" s="57" t="s">
        <v>3150</v>
      </c>
      <c r="E1043" s="57" t="s">
        <v>3148</v>
      </c>
      <c r="F1043" s="58">
        <v>22000.0</v>
      </c>
      <c r="G1043" s="57" t="s">
        <v>467</v>
      </c>
      <c r="H1043" s="59" t="s">
        <v>3055</v>
      </c>
      <c r="I1043" s="59" t="s">
        <v>953</v>
      </c>
      <c r="J1043" s="61"/>
      <c r="K1043" s="61"/>
      <c r="L1043" s="42"/>
      <c r="M1043" s="42"/>
      <c r="N1043" s="42"/>
      <c r="O1043" s="42"/>
      <c r="P1043" s="42"/>
      <c r="Q1043" s="42"/>
      <c r="R1043" s="42"/>
      <c r="S1043" s="42"/>
      <c r="T1043" s="42"/>
      <c r="U1043" s="42"/>
      <c r="V1043" s="42"/>
      <c r="W1043" s="42"/>
      <c r="X1043" s="42"/>
      <c r="Y1043" s="42"/>
      <c r="Z1043" s="42"/>
    </row>
    <row r="1044" ht="57.0" customHeight="1">
      <c r="A1044" s="57" t="s">
        <v>3051</v>
      </c>
      <c r="B1044" s="57" t="s">
        <v>200</v>
      </c>
      <c r="C1044" s="57" t="s">
        <v>3151</v>
      </c>
      <c r="D1044" s="57" t="s">
        <v>3152</v>
      </c>
      <c r="E1044" s="57" t="s">
        <v>3153</v>
      </c>
      <c r="F1044" s="58">
        <v>33000.0</v>
      </c>
      <c r="G1044" s="57" t="s">
        <v>467</v>
      </c>
      <c r="H1044" s="59" t="s">
        <v>3055</v>
      </c>
      <c r="I1044" s="59" t="s">
        <v>953</v>
      </c>
      <c r="J1044" s="61"/>
      <c r="K1044" s="61"/>
      <c r="L1044" s="42"/>
      <c r="M1044" s="42"/>
      <c r="N1044" s="42"/>
      <c r="O1044" s="42"/>
      <c r="P1044" s="42"/>
      <c r="Q1044" s="42"/>
      <c r="R1044" s="42"/>
      <c r="S1044" s="42"/>
      <c r="T1044" s="42"/>
      <c r="U1044" s="42"/>
      <c r="V1044" s="42"/>
      <c r="W1044" s="42"/>
      <c r="X1044" s="42"/>
      <c r="Y1044" s="42"/>
      <c r="Z1044" s="42"/>
    </row>
    <row r="1045" ht="57.0" customHeight="1">
      <c r="A1045" s="57" t="s">
        <v>3051</v>
      </c>
      <c r="B1045" s="57" t="s">
        <v>200</v>
      </c>
      <c r="C1045" s="57" t="s">
        <v>3154</v>
      </c>
      <c r="D1045" s="57" t="s">
        <v>3155</v>
      </c>
      <c r="E1045" s="57" t="s">
        <v>3156</v>
      </c>
      <c r="F1045" s="58">
        <v>200000.0</v>
      </c>
      <c r="G1045" s="57" t="s">
        <v>251</v>
      </c>
      <c r="H1045" s="59" t="s">
        <v>3055</v>
      </c>
      <c r="I1045" s="59" t="s">
        <v>953</v>
      </c>
      <c r="J1045" s="61"/>
      <c r="K1045" s="61"/>
      <c r="L1045" s="42"/>
      <c r="M1045" s="42"/>
      <c r="N1045" s="42"/>
      <c r="O1045" s="42"/>
      <c r="P1045" s="42"/>
      <c r="Q1045" s="42"/>
      <c r="R1045" s="42"/>
      <c r="S1045" s="42"/>
      <c r="T1045" s="42"/>
      <c r="U1045" s="42"/>
      <c r="V1045" s="42"/>
      <c r="W1045" s="42"/>
      <c r="X1045" s="42"/>
      <c r="Y1045" s="42"/>
      <c r="Z1045" s="42"/>
    </row>
    <row r="1046" ht="57.0" customHeight="1">
      <c r="A1046" s="57" t="s">
        <v>3051</v>
      </c>
      <c r="B1046" s="57" t="s">
        <v>200</v>
      </c>
      <c r="C1046" s="57" t="s">
        <v>3157</v>
      </c>
      <c r="D1046" s="57" t="s">
        <v>3158</v>
      </c>
      <c r="E1046" s="57" t="s">
        <v>3159</v>
      </c>
      <c r="F1046" s="58">
        <v>8300.0</v>
      </c>
      <c r="G1046" s="57" t="s">
        <v>467</v>
      </c>
      <c r="H1046" s="59" t="s">
        <v>3055</v>
      </c>
      <c r="I1046" s="59" t="s">
        <v>3056</v>
      </c>
      <c r="J1046" s="61"/>
      <c r="K1046" s="61"/>
      <c r="L1046" s="42"/>
      <c r="M1046" s="42"/>
      <c r="N1046" s="42"/>
      <c r="O1046" s="42"/>
      <c r="P1046" s="42"/>
      <c r="Q1046" s="42"/>
      <c r="R1046" s="42"/>
      <c r="S1046" s="42"/>
      <c r="T1046" s="42"/>
      <c r="U1046" s="42"/>
      <c r="V1046" s="42"/>
      <c r="W1046" s="42"/>
      <c r="X1046" s="42"/>
      <c r="Y1046" s="42"/>
      <c r="Z1046" s="42"/>
    </row>
    <row r="1047" ht="57.0" customHeight="1">
      <c r="A1047" s="57" t="s">
        <v>3051</v>
      </c>
      <c r="B1047" s="57" t="s">
        <v>200</v>
      </c>
      <c r="C1047" s="57" t="s">
        <v>3160</v>
      </c>
      <c r="D1047" s="57" t="s">
        <v>3161</v>
      </c>
      <c r="E1047" s="57" t="s">
        <v>3159</v>
      </c>
      <c r="F1047" s="58">
        <v>15000.0</v>
      </c>
      <c r="G1047" s="57" t="s">
        <v>467</v>
      </c>
      <c r="H1047" s="59" t="s">
        <v>3055</v>
      </c>
      <c r="I1047" s="59" t="s">
        <v>3056</v>
      </c>
      <c r="J1047" s="61"/>
      <c r="K1047" s="61"/>
      <c r="L1047" s="42"/>
      <c r="M1047" s="42"/>
      <c r="N1047" s="42"/>
      <c r="O1047" s="42"/>
      <c r="P1047" s="42"/>
      <c r="Q1047" s="42"/>
      <c r="R1047" s="42"/>
      <c r="S1047" s="42"/>
      <c r="T1047" s="42"/>
      <c r="U1047" s="42"/>
      <c r="V1047" s="42"/>
      <c r="W1047" s="42"/>
      <c r="X1047" s="42"/>
      <c r="Y1047" s="42"/>
      <c r="Z1047" s="42"/>
    </row>
    <row r="1048" ht="57.0" customHeight="1">
      <c r="A1048" s="57" t="s">
        <v>3051</v>
      </c>
      <c r="B1048" s="57" t="s">
        <v>200</v>
      </c>
      <c r="C1048" s="57" t="s">
        <v>3162</v>
      </c>
      <c r="D1048" s="57" t="s">
        <v>3163</v>
      </c>
      <c r="E1048" s="57"/>
      <c r="F1048" s="58">
        <v>50000.0</v>
      </c>
      <c r="G1048" s="57" t="s">
        <v>467</v>
      </c>
      <c r="H1048" s="59" t="s">
        <v>3055</v>
      </c>
      <c r="I1048" s="59" t="s">
        <v>953</v>
      </c>
      <c r="J1048" s="61"/>
      <c r="K1048" s="61"/>
      <c r="L1048" s="42"/>
      <c r="M1048" s="42"/>
      <c r="N1048" s="42"/>
      <c r="O1048" s="42"/>
      <c r="P1048" s="42"/>
      <c r="Q1048" s="42"/>
      <c r="R1048" s="42"/>
      <c r="S1048" s="42"/>
      <c r="T1048" s="42"/>
      <c r="U1048" s="42"/>
      <c r="V1048" s="42"/>
      <c r="W1048" s="42"/>
      <c r="X1048" s="42"/>
      <c r="Y1048" s="42"/>
      <c r="Z1048" s="42"/>
    </row>
    <row r="1049" ht="57.0" customHeight="1">
      <c r="A1049" s="57" t="s">
        <v>3051</v>
      </c>
      <c r="B1049" s="57" t="s">
        <v>200</v>
      </c>
      <c r="C1049" s="57" t="s">
        <v>3164</v>
      </c>
      <c r="D1049" s="57" t="s">
        <v>3165</v>
      </c>
      <c r="E1049" s="57"/>
      <c r="F1049" s="58">
        <v>400000.0</v>
      </c>
      <c r="G1049" s="57" t="s">
        <v>467</v>
      </c>
      <c r="H1049" s="59" t="s">
        <v>3055</v>
      </c>
      <c r="I1049" s="59" t="s">
        <v>953</v>
      </c>
      <c r="J1049" s="61"/>
      <c r="K1049" s="61"/>
      <c r="L1049" s="42"/>
      <c r="M1049" s="42"/>
      <c r="N1049" s="42"/>
      <c r="O1049" s="42"/>
      <c r="P1049" s="42"/>
      <c r="Q1049" s="42"/>
      <c r="R1049" s="42"/>
      <c r="S1049" s="42"/>
      <c r="T1049" s="42"/>
      <c r="U1049" s="42"/>
      <c r="V1049" s="42"/>
      <c r="W1049" s="42"/>
      <c r="X1049" s="42"/>
      <c r="Y1049" s="42"/>
      <c r="Z1049" s="42"/>
    </row>
    <row r="1050" ht="57.0" customHeight="1">
      <c r="A1050" s="57" t="s">
        <v>3051</v>
      </c>
      <c r="B1050" s="57" t="s">
        <v>200</v>
      </c>
      <c r="C1050" s="57" t="s">
        <v>3166</v>
      </c>
      <c r="D1050" s="57" t="s">
        <v>3167</v>
      </c>
      <c r="E1050" s="57"/>
      <c r="F1050" s="58">
        <v>850000.0</v>
      </c>
      <c r="G1050" s="57" t="s">
        <v>467</v>
      </c>
      <c r="H1050" s="59" t="s">
        <v>3055</v>
      </c>
      <c r="I1050" s="59" t="s">
        <v>953</v>
      </c>
      <c r="J1050" s="61"/>
      <c r="K1050" s="61"/>
      <c r="L1050" s="42"/>
      <c r="M1050" s="42"/>
      <c r="N1050" s="42"/>
      <c r="O1050" s="42"/>
      <c r="P1050" s="42"/>
      <c r="Q1050" s="42"/>
      <c r="R1050" s="42"/>
      <c r="S1050" s="42"/>
      <c r="T1050" s="42"/>
      <c r="U1050" s="42"/>
      <c r="V1050" s="42"/>
      <c r="W1050" s="42"/>
      <c r="X1050" s="42"/>
      <c r="Y1050" s="42"/>
      <c r="Z1050" s="42"/>
    </row>
    <row r="1051" ht="57.0" customHeight="1">
      <c r="A1051" s="57" t="s">
        <v>3051</v>
      </c>
      <c r="B1051" s="57" t="s">
        <v>200</v>
      </c>
      <c r="C1051" s="57" t="s">
        <v>3168</v>
      </c>
      <c r="D1051" s="57" t="s">
        <v>3169</v>
      </c>
      <c r="E1051" s="57" t="s">
        <v>3170</v>
      </c>
      <c r="F1051" s="58">
        <v>22000.0</v>
      </c>
      <c r="G1051" s="57" t="s">
        <v>467</v>
      </c>
      <c r="H1051" s="59" t="s">
        <v>3055</v>
      </c>
      <c r="I1051" s="59" t="s">
        <v>3056</v>
      </c>
      <c r="J1051" s="61"/>
      <c r="K1051" s="61"/>
      <c r="L1051" s="42"/>
      <c r="M1051" s="42"/>
      <c r="N1051" s="42"/>
      <c r="O1051" s="42"/>
      <c r="P1051" s="42"/>
      <c r="Q1051" s="42"/>
      <c r="R1051" s="42"/>
      <c r="S1051" s="42"/>
      <c r="T1051" s="42"/>
      <c r="U1051" s="42"/>
      <c r="V1051" s="42"/>
      <c r="W1051" s="42"/>
      <c r="X1051" s="42"/>
      <c r="Y1051" s="42"/>
      <c r="Z1051" s="42"/>
    </row>
    <row r="1052" ht="57.0" customHeight="1">
      <c r="A1052" s="57" t="s">
        <v>3051</v>
      </c>
      <c r="B1052" s="57" t="s">
        <v>200</v>
      </c>
      <c r="C1052" s="57" t="s">
        <v>3171</v>
      </c>
      <c r="D1052" s="57" t="s">
        <v>3172</v>
      </c>
      <c r="E1052" s="57" t="s">
        <v>3170</v>
      </c>
      <c r="F1052" s="58">
        <v>57000.0</v>
      </c>
      <c r="G1052" s="57" t="s">
        <v>467</v>
      </c>
      <c r="H1052" s="59" t="s">
        <v>3055</v>
      </c>
      <c r="I1052" s="59" t="s">
        <v>3056</v>
      </c>
      <c r="J1052" s="61"/>
      <c r="K1052" s="61"/>
      <c r="L1052" s="42"/>
      <c r="M1052" s="42"/>
      <c r="N1052" s="42"/>
      <c r="O1052" s="42"/>
      <c r="P1052" s="42"/>
      <c r="Q1052" s="42"/>
      <c r="R1052" s="42"/>
      <c r="S1052" s="42"/>
      <c r="T1052" s="42"/>
      <c r="U1052" s="42"/>
      <c r="V1052" s="42"/>
      <c r="W1052" s="42"/>
      <c r="X1052" s="42"/>
      <c r="Y1052" s="42"/>
      <c r="Z1052" s="42"/>
    </row>
    <row r="1053" ht="57.0" customHeight="1">
      <c r="A1053" s="57" t="s">
        <v>3051</v>
      </c>
      <c r="B1053" s="57" t="s">
        <v>200</v>
      </c>
      <c r="C1053" s="57" t="s">
        <v>3173</v>
      </c>
      <c r="D1053" s="57" t="s">
        <v>3174</v>
      </c>
      <c r="E1053" s="57" t="s">
        <v>3170</v>
      </c>
      <c r="F1053" s="58">
        <v>120000.0</v>
      </c>
      <c r="G1053" s="57" t="s">
        <v>467</v>
      </c>
      <c r="H1053" s="59" t="s">
        <v>3055</v>
      </c>
      <c r="I1053" s="59" t="s">
        <v>3056</v>
      </c>
      <c r="J1053" s="61"/>
      <c r="K1053" s="61"/>
      <c r="L1053" s="42"/>
      <c r="M1053" s="42"/>
      <c r="N1053" s="42"/>
      <c r="O1053" s="42"/>
      <c r="P1053" s="42"/>
      <c r="Q1053" s="42"/>
      <c r="R1053" s="42"/>
      <c r="S1053" s="42"/>
      <c r="T1053" s="42"/>
      <c r="U1053" s="42"/>
      <c r="V1053" s="42"/>
      <c r="W1053" s="42"/>
      <c r="X1053" s="42"/>
      <c r="Y1053" s="42"/>
      <c r="Z1053" s="42"/>
    </row>
    <row r="1054" ht="57.0" customHeight="1">
      <c r="A1054" s="57" t="s">
        <v>3051</v>
      </c>
      <c r="B1054" s="57" t="s">
        <v>200</v>
      </c>
      <c r="C1054" s="57" t="s">
        <v>3175</v>
      </c>
      <c r="D1054" s="57" t="s">
        <v>3176</v>
      </c>
      <c r="E1054" s="57" t="s">
        <v>3177</v>
      </c>
      <c r="F1054" s="58">
        <v>220000.0</v>
      </c>
      <c r="G1054" s="57" t="s">
        <v>467</v>
      </c>
      <c r="H1054" s="59" t="s">
        <v>3055</v>
      </c>
      <c r="I1054" s="59" t="s">
        <v>953</v>
      </c>
      <c r="J1054" s="61"/>
      <c r="K1054" s="61"/>
      <c r="L1054" s="42"/>
      <c r="M1054" s="42"/>
      <c r="N1054" s="42"/>
      <c r="O1054" s="42"/>
      <c r="P1054" s="42"/>
      <c r="Q1054" s="42"/>
      <c r="R1054" s="42"/>
      <c r="S1054" s="42"/>
      <c r="T1054" s="42"/>
      <c r="U1054" s="42"/>
      <c r="V1054" s="42"/>
      <c r="W1054" s="42"/>
      <c r="X1054" s="42"/>
      <c r="Y1054" s="42"/>
      <c r="Z1054" s="42"/>
    </row>
    <row r="1055" ht="57.0" customHeight="1">
      <c r="A1055" s="57" t="s">
        <v>3051</v>
      </c>
      <c r="B1055" s="57" t="s">
        <v>200</v>
      </c>
      <c r="C1055" s="57" t="s">
        <v>3178</v>
      </c>
      <c r="D1055" s="57" t="s">
        <v>3179</v>
      </c>
      <c r="E1055" s="57" t="s">
        <v>3177</v>
      </c>
      <c r="F1055" s="58">
        <v>1000000.0</v>
      </c>
      <c r="G1055" s="57" t="s">
        <v>467</v>
      </c>
      <c r="H1055" s="59" t="s">
        <v>3055</v>
      </c>
      <c r="I1055" s="59" t="s">
        <v>953</v>
      </c>
      <c r="J1055" s="61"/>
      <c r="K1055" s="61"/>
      <c r="L1055" s="42"/>
      <c r="M1055" s="42"/>
      <c r="N1055" s="42"/>
      <c r="O1055" s="42"/>
      <c r="P1055" s="42"/>
      <c r="Q1055" s="42"/>
      <c r="R1055" s="42"/>
      <c r="S1055" s="42"/>
      <c r="T1055" s="42"/>
      <c r="U1055" s="42"/>
      <c r="V1055" s="42"/>
      <c r="W1055" s="42"/>
      <c r="X1055" s="42"/>
      <c r="Y1055" s="42"/>
      <c r="Z1055" s="42"/>
    </row>
    <row r="1056" ht="57.0" customHeight="1">
      <c r="A1056" s="57" t="s">
        <v>3051</v>
      </c>
      <c r="B1056" s="57" t="s">
        <v>200</v>
      </c>
      <c r="C1056" s="57" t="s">
        <v>3180</v>
      </c>
      <c r="D1056" s="57" t="s">
        <v>3181</v>
      </c>
      <c r="E1056" s="57" t="s">
        <v>3182</v>
      </c>
      <c r="F1056" s="58">
        <v>330000.0</v>
      </c>
      <c r="G1056" s="57" t="s">
        <v>1571</v>
      </c>
      <c r="H1056" s="59" t="s">
        <v>3055</v>
      </c>
      <c r="I1056" s="59" t="s">
        <v>953</v>
      </c>
      <c r="J1056" s="61"/>
      <c r="K1056" s="61"/>
      <c r="L1056" s="42"/>
      <c r="M1056" s="42"/>
      <c r="N1056" s="42"/>
      <c r="O1056" s="42"/>
      <c r="P1056" s="42"/>
      <c r="Q1056" s="42"/>
      <c r="R1056" s="42"/>
      <c r="S1056" s="42"/>
      <c r="T1056" s="42"/>
      <c r="U1056" s="42"/>
      <c r="V1056" s="42"/>
      <c r="W1056" s="42"/>
      <c r="X1056" s="42"/>
      <c r="Y1056" s="42"/>
      <c r="Z1056" s="42"/>
    </row>
    <row r="1057" ht="57.0" customHeight="1">
      <c r="A1057" s="57" t="s">
        <v>3051</v>
      </c>
      <c r="B1057" s="57" t="s">
        <v>200</v>
      </c>
      <c r="C1057" s="57" t="s">
        <v>3183</v>
      </c>
      <c r="D1057" s="57" t="s">
        <v>3184</v>
      </c>
      <c r="E1057" s="57" t="s">
        <v>3182</v>
      </c>
      <c r="F1057" s="58">
        <v>1400000.0</v>
      </c>
      <c r="G1057" s="57" t="s">
        <v>1571</v>
      </c>
      <c r="H1057" s="59" t="s">
        <v>3055</v>
      </c>
      <c r="I1057" s="59" t="s">
        <v>953</v>
      </c>
      <c r="J1057" s="61"/>
      <c r="K1057" s="61"/>
      <c r="L1057" s="42"/>
      <c r="M1057" s="42"/>
      <c r="N1057" s="42"/>
      <c r="O1057" s="42"/>
      <c r="P1057" s="42"/>
      <c r="Q1057" s="42"/>
      <c r="R1057" s="42"/>
      <c r="S1057" s="42"/>
      <c r="T1057" s="42"/>
      <c r="U1057" s="42"/>
      <c r="V1057" s="42"/>
      <c r="W1057" s="42"/>
      <c r="X1057" s="42"/>
      <c r="Y1057" s="42"/>
      <c r="Z1057" s="42"/>
    </row>
    <row r="1058" ht="57.0" customHeight="1">
      <c r="A1058" s="57" t="s">
        <v>3051</v>
      </c>
      <c r="B1058" s="57" t="s">
        <v>200</v>
      </c>
      <c r="C1058" s="57" t="s">
        <v>3185</v>
      </c>
      <c r="D1058" s="57" t="s">
        <v>3186</v>
      </c>
      <c r="E1058" s="57" t="s">
        <v>3187</v>
      </c>
      <c r="F1058" s="58">
        <v>350000.0</v>
      </c>
      <c r="G1058" s="57" t="s">
        <v>1571</v>
      </c>
      <c r="H1058" s="59" t="s">
        <v>3055</v>
      </c>
      <c r="I1058" s="59" t="s">
        <v>953</v>
      </c>
      <c r="J1058" s="61"/>
      <c r="K1058" s="61"/>
      <c r="L1058" s="42"/>
      <c r="M1058" s="42"/>
      <c r="N1058" s="42"/>
      <c r="O1058" s="42"/>
      <c r="P1058" s="42"/>
      <c r="Q1058" s="42"/>
      <c r="R1058" s="42"/>
      <c r="S1058" s="42"/>
      <c r="T1058" s="42"/>
      <c r="U1058" s="42"/>
      <c r="V1058" s="42"/>
      <c r="W1058" s="42"/>
      <c r="X1058" s="42"/>
      <c r="Y1058" s="42"/>
      <c r="Z1058" s="42"/>
    </row>
    <row r="1059" ht="57.0" customHeight="1">
      <c r="A1059" s="57" t="s">
        <v>3051</v>
      </c>
      <c r="B1059" s="57" t="s">
        <v>200</v>
      </c>
      <c r="C1059" s="57" t="s">
        <v>3188</v>
      </c>
      <c r="D1059" s="57" t="s">
        <v>3189</v>
      </c>
      <c r="E1059" s="57" t="s">
        <v>3190</v>
      </c>
      <c r="F1059" s="58">
        <v>700.0</v>
      </c>
      <c r="G1059" s="57" t="s">
        <v>251</v>
      </c>
      <c r="H1059" s="59" t="s">
        <v>3055</v>
      </c>
      <c r="I1059" s="59" t="s">
        <v>953</v>
      </c>
      <c r="J1059" s="61"/>
      <c r="K1059" s="61"/>
      <c r="L1059" s="42"/>
      <c r="M1059" s="42"/>
      <c r="N1059" s="42"/>
      <c r="O1059" s="42"/>
      <c r="P1059" s="42"/>
      <c r="Q1059" s="42"/>
      <c r="R1059" s="42"/>
      <c r="S1059" s="42"/>
      <c r="T1059" s="42"/>
      <c r="U1059" s="42"/>
      <c r="V1059" s="42"/>
      <c r="W1059" s="42"/>
      <c r="X1059" s="42"/>
      <c r="Y1059" s="42"/>
      <c r="Z1059" s="42"/>
    </row>
    <row r="1060" ht="57.0" customHeight="1">
      <c r="A1060" s="57" t="s">
        <v>3051</v>
      </c>
      <c r="B1060" s="57" t="s">
        <v>200</v>
      </c>
      <c r="C1060" s="57" t="s">
        <v>3191</v>
      </c>
      <c r="D1060" s="57" t="s">
        <v>3192</v>
      </c>
      <c r="E1060" s="57"/>
      <c r="F1060" s="58">
        <v>35000.0</v>
      </c>
      <c r="G1060" s="57" t="s">
        <v>251</v>
      </c>
      <c r="H1060" s="59" t="s">
        <v>3055</v>
      </c>
      <c r="I1060" s="59" t="s">
        <v>953</v>
      </c>
      <c r="J1060" s="61"/>
      <c r="K1060" s="61"/>
      <c r="L1060" s="42"/>
      <c r="M1060" s="42"/>
      <c r="N1060" s="42"/>
      <c r="O1060" s="42"/>
      <c r="P1060" s="42"/>
      <c r="Q1060" s="42"/>
      <c r="R1060" s="42"/>
      <c r="S1060" s="42"/>
      <c r="T1060" s="42"/>
      <c r="U1060" s="42"/>
      <c r="V1060" s="42"/>
      <c r="W1060" s="42"/>
      <c r="X1060" s="42"/>
      <c r="Y1060" s="42"/>
      <c r="Z1060" s="42"/>
    </row>
    <row r="1061" ht="57.0" customHeight="1">
      <c r="A1061" s="57" t="s">
        <v>3051</v>
      </c>
      <c r="B1061" s="57" t="s">
        <v>200</v>
      </c>
      <c r="C1061" s="57" t="s">
        <v>3193</v>
      </c>
      <c r="D1061" s="57" t="s">
        <v>3194</v>
      </c>
      <c r="E1061" s="57"/>
      <c r="F1061" s="58">
        <v>590000.0</v>
      </c>
      <c r="G1061" s="57" t="s">
        <v>251</v>
      </c>
      <c r="H1061" s="59" t="s">
        <v>3055</v>
      </c>
      <c r="I1061" s="59" t="s">
        <v>953</v>
      </c>
      <c r="J1061" s="61"/>
      <c r="K1061" s="61"/>
      <c r="L1061" s="42"/>
      <c r="M1061" s="42"/>
      <c r="N1061" s="42"/>
      <c r="O1061" s="42"/>
      <c r="P1061" s="42"/>
      <c r="Q1061" s="42"/>
      <c r="R1061" s="42"/>
      <c r="S1061" s="42"/>
      <c r="T1061" s="42"/>
      <c r="U1061" s="42"/>
      <c r="V1061" s="42"/>
      <c r="W1061" s="42"/>
      <c r="X1061" s="42"/>
      <c r="Y1061" s="42"/>
      <c r="Z1061" s="42"/>
    </row>
    <row r="1062" ht="57.0" customHeight="1">
      <c r="A1062" s="57" t="s">
        <v>3051</v>
      </c>
      <c r="B1062" s="57" t="s">
        <v>200</v>
      </c>
      <c r="C1062" s="57" t="s">
        <v>3195</v>
      </c>
      <c r="D1062" s="57" t="s">
        <v>3196</v>
      </c>
      <c r="E1062" s="57"/>
      <c r="F1062" s="58">
        <v>18500.0</v>
      </c>
      <c r="G1062" s="57" t="s">
        <v>467</v>
      </c>
      <c r="H1062" s="59" t="s">
        <v>3055</v>
      </c>
      <c r="I1062" s="59" t="s">
        <v>953</v>
      </c>
      <c r="J1062" s="61"/>
      <c r="K1062" s="61"/>
      <c r="L1062" s="42"/>
      <c r="M1062" s="42"/>
      <c r="N1062" s="42"/>
      <c r="O1062" s="42"/>
      <c r="P1062" s="42"/>
      <c r="Q1062" s="42"/>
      <c r="R1062" s="42"/>
      <c r="S1062" s="42"/>
      <c r="T1062" s="42"/>
      <c r="U1062" s="42"/>
      <c r="V1062" s="42"/>
      <c r="W1062" s="42"/>
      <c r="X1062" s="42"/>
      <c r="Y1062" s="42"/>
      <c r="Z1062" s="42"/>
    </row>
    <row r="1063" ht="57.0" customHeight="1">
      <c r="A1063" s="57" t="s">
        <v>3051</v>
      </c>
      <c r="B1063" s="57" t="s">
        <v>200</v>
      </c>
      <c r="C1063" s="57" t="s">
        <v>3197</v>
      </c>
      <c r="D1063" s="57" t="s">
        <v>3198</v>
      </c>
      <c r="E1063" s="57"/>
      <c r="F1063" s="58">
        <v>11000.0</v>
      </c>
      <c r="G1063" s="57" t="s">
        <v>467</v>
      </c>
      <c r="H1063" s="59" t="s">
        <v>3055</v>
      </c>
      <c r="I1063" s="59" t="s">
        <v>953</v>
      </c>
      <c r="J1063" s="61"/>
      <c r="K1063" s="61"/>
      <c r="L1063" s="42"/>
      <c r="M1063" s="42"/>
      <c r="N1063" s="42"/>
      <c r="O1063" s="42"/>
      <c r="P1063" s="42"/>
      <c r="Q1063" s="42"/>
      <c r="R1063" s="42"/>
      <c r="S1063" s="42"/>
      <c r="T1063" s="42"/>
      <c r="U1063" s="42"/>
      <c r="V1063" s="42"/>
      <c r="W1063" s="42"/>
      <c r="X1063" s="42"/>
      <c r="Y1063" s="42"/>
      <c r="Z1063" s="42"/>
    </row>
    <row r="1064" ht="57.0" customHeight="1">
      <c r="A1064" s="57" t="s">
        <v>3051</v>
      </c>
      <c r="B1064" s="57" t="s">
        <v>200</v>
      </c>
      <c r="C1064" s="57" t="s">
        <v>3199</v>
      </c>
      <c r="D1064" s="57" t="s">
        <v>3200</v>
      </c>
      <c r="E1064" s="57"/>
      <c r="F1064" s="58">
        <v>4500.0</v>
      </c>
      <c r="G1064" s="57" t="s">
        <v>467</v>
      </c>
      <c r="H1064" s="59" t="s">
        <v>3055</v>
      </c>
      <c r="I1064" s="59" t="s">
        <v>953</v>
      </c>
      <c r="J1064" s="61"/>
      <c r="K1064" s="61"/>
      <c r="L1064" s="42"/>
      <c r="M1064" s="42"/>
      <c r="N1064" s="42"/>
      <c r="O1064" s="42"/>
      <c r="P1064" s="42"/>
      <c r="Q1064" s="42"/>
      <c r="R1064" s="42"/>
      <c r="S1064" s="42"/>
      <c r="T1064" s="42"/>
      <c r="U1064" s="42"/>
      <c r="V1064" s="42"/>
      <c r="W1064" s="42"/>
      <c r="X1064" s="42"/>
      <c r="Y1064" s="42"/>
      <c r="Z1064" s="42"/>
    </row>
    <row r="1065" ht="85.5" customHeight="1">
      <c r="A1065" s="57" t="s">
        <v>3051</v>
      </c>
      <c r="B1065" s="57" t="s">
        <v>200</v>
      </c>
      <c r="C1065" s="57" t="s">
        <v>3201</v>
      </c>
      <c r="D1065" s="57" t="s">
        <v>3202</v>
      </c>
      <c r="E1065" s="57"/>
      <c r="F1065" s="58">
        <v>28800.0</v>
      </c>
      <c r="G1065" s="57" t="s">
        <v>3203</v>
      </c>
      <c r="H1065" s="59" t="s">
        <v>594</v>
      </c>
      <c r="I1065" s="59" t="s">
        <v>1875</v>
      </c>
      <c r="J1065" s="61" t="s">
        <v>3204</v>
      </c>
      <c r="K1065" s="67">
        <v>25934.0</v>
      </c>
      <c r="L1065" s="42"/>
      <c r="M1065" s="42"/>
      <c r="N1065" s="42"/>
      <c r="O1065" s="42"/>
      <c r="P1065" s="42"/>
      <c r="Q1065" s="42"/>
      <c r="R1065" s="42"/>
      <c r="S1065" s="42"/>
      <c r="T1065" s="42"/>
      <c r="U1065" s="42"/>
      <c r="V1065" s="42"/>
      <c r="W1065" s="42"/>
      <c r="X1065" s="42"/>
      <c r="Y1065" s="42"/>
      <c r="Z1065" s="42"/>
    </row>
    <row r="1066" ht="85.5" customHeight="1">
      <c r="A1066" s="57" t="s">
        <v>3051</v>
      </c>
      <c r="B1066" s="57" t="s">
        <v>200</v>
      </c>
      <c r="C1066" s="57" t="s">
        <v>3205</v>
      </c>
      <c r="D1066" s="57" t="s">
        <v>3206</v>
      </c>
      <c r="E1066" s="57"/>
      <c r="F1066" s="58">
        <v>46000.0</v>
      </c>
      <c r="G1066" s="57" t="s">
        <v>3203</v>
      </c>
      <c r="H1066" s="59" t="s">
        <v>594</v>
      </c>
      <c r="I1066" s="59" t="s">
        <v>1875</v>
      </c>
      <c r="J1066" s="61" t="s">
        <v>3204</v>
      </c>
      <c r="K1066" s="67">
        <v>25934.0</v>
      </c>
      <c r="L1066" s="42"/>
      <c r="M1066" s="42"/>
      <c r="N1066" s="42"/>
      <c r="O1066" s="42"/>
      <c r="P1066" s="42"/>
      <c r="Q1066" s="42"/>
      <c r="R1066" s="42"/>
      <c r="S1066" s="42"/>
      <c r="T1066" s="42"/>
      <c r="U1066" s="42"/>
      <c r="V1066" s="42"/>
      <c r="W1066" s="42"/>
      <c r="X1066" s="42"/>
      <c r="Y1066" s="42"/>
      <c r="Z1066" s="42"/>
    </row>
    <row r="1067" ht="85.5" customHeight="1">
      <c r="A1067" s="57" t="s">
        <v>3051</v>
      </c>
      <c r="B1067" s="57" t="s">
        <v>200</v>
      </c>
      <c r="C1067" s="57" t="s">
        <v>3207</v>
      </c>
      <c r="D1067" s="57" t="s">
        <v>3208</v>
      </c>
      <c r="E1067" s="57"/>
      <c r="F1067" s="58">
        <v>63000.0</v>
      </c>
      <c r="G1067" s="57" t="s">
        <v>3203</v>
      </c>
      <c r="H1067" s="59" t="s">
        <v>594</v>
      </c>
      <c r="I1067" s="59" t="s">
        <v>1875</v>
      </c>
      <c r="J1067" s="61" t="s">
        <v>3204</v>
      </c>
      <c r="K1067" s="67">
        <v>25934.0</v>
      </c>
      <c r="L1067" s="42"/>
      <c r="M1067" s="42"/>
      <c r="N1067" s="42"/>
      <c r="O1067" s="42"/>
      <c r="P1067" s="42"/>
      <c r="Q1067" s="42"/>
      <c r="R1067" s="42"/>
      <c r="S1067" s="42"/>
      <c r="T1067" s="42"/>
      <c r="U1067" s="42"/>
      <c r="V1067" s="42"/>
      <c r="W1067" s="42"/>
      <c r="X1067" s="42"/>
      <c r="Y1067" s="42"/>
      <c r="Z1067" s="42"/>
    </row>
    <row r="1068" ht="85.5" customHeight="1">
      <c r="A1068" s="57" t="s">
        <v>3051</v>
      </c>
      <c r="B1068" s="57" t="s">
        <v>200</v>
      </c>
      <c r="C1068" s="57" t="s">
        <v>3209</v>
      </c>
      <c r="D1068" s="57" t="s">
        <v>3210</v>
      </c>
      <c r="E1068" s="57"/>
      <c r="F1068" s="58">
        <v>80000.0</v>
      </c>
      <c r="G1068" s="57" t="s">
        <v>3203</v>
      </c>
      <c r="H1068" s="59" t="s">
        <v>594</v>
      </c>
      <c r="I1068" s="59" t="s">
        <v>1875</v>
      </c>
      <c r="J1068" s="61" t="s">
        <v>3204</v>
      </c>
      <c r="K1068" s="67">
        <v>25934.0</v>
      </c>
      <c r="L1068" s="42"/>
      <c r="M1068" s="42"/>
      <c r="N1068" s="42"/>
      <c r="O1068" s="42"/>
      <c r="P1068" s="42"/>
      <c r="Q1068" s="42"/>
      <c r="R1068" s="42"/>
      <c r="S1068" s="42"/>
      <c r="T1068" s="42"/>
      <c r="U1068" s="42"/>
      <c r="V1068" s="42"/>
      <c r="W1068" s="42"/>
      <c r="X1068" s="42"/>
      <c r="Y1068" s="42"/>
      <c r="Z1068" s="42"/>
    </row>
    <row r="1069" ht="114.0" customHeight="1">
      <c r="A1069" s="57" t="s">
        <v>3051</v>
      </c>
      <c r="B1069" s="57" t="s">
        <v>200</v>
      </c>
      <c r="C1069" s="57" t="s">
        <v>3211</v>
      </c>
      <c r="D1069" s="57" t="s">
        <v>3212</v>
      </c>
      <c r="E1069" s="57"/>
      <c r="F1069" s="58">
        <v>235300.0</v>
      </c>
      <c r="G1069" s="57" t="s">
        <v>3213</v>
      </c>
      <c r="H1069" s="59" t="s">
        <v>594</v>
      </c>
      <c r="I1069" s="59" t="s">
        <v>3056</v>
      </c>
      <c r="J1069" s="61" t="s">
        <v>3214</v>
      </c>
      <c r="K1069" s="67">
        <v>26451.0</v>
      </c>
      <c r="L1069" s="42"/>
      <c r="M1069" s="42"/>
      <c r="N1069" s="42"/>
      <c r="O1069" s="42"/>
      <c r="P1069" s="42"/>
      <c r="Q1069" s="42"/>
      <c r="R1069" s="42"/>
      <c r="S1069" s="42"/>
      <c r="T1069" s="42"/>
      <c r="U1069" s="42"/>
      <c r="V1069" s="42"/>
      <c r="W1069" s="42"/>
      <c r="X1069" s="42"/>
      <c r="Y1069" s="42"/>
      <c r="Z1069" s="42"/>
    </row>
    <row r="1070" ht="114.0" customHeight="1">
      <c r="A1070" s="57" t="s">
        <v>3051</v>
      </c>
      <c r="B1070" s="57" t="s">
        <v>200</v>
      </c>
      <c r="C1070" s="57" t="s">
        <v>3215</v>
      </c>
      <c r="D1070" s="57" t="s">
        <v>3216</v>
      </c>
      <c r="E1070" s="57"/>
      <c r="F1070" s="58">
        <v>356800.0</v>
      </c>
      <c r="G1070" s="57" t="s">
        <v>3213</v>
      </c>
      <c r="H1070" s="59" t="s">
        <v>594</v>
      </c>
      <c r="I1070" s="59" t="s">
        <v>3056</v>
      </c>
      <c r="J1070" s="61" t="s">
        <v>3214</v>
      </c>
      <c r="K1070" s="67">
        <v>26451.0</v>
      </c>
      <c r="L1070" s="42"/>
      <c r="M1070" s="42"/>
      <c r="N1070" s="42"/>
      <c r="O1070" s="42"/>
      <c r="P1070" s="42"/>
      <c r="Q1070" s="42"/>
      <c r="R1070" s="42"/>
      <c r="S1070" s="42"/>
      <c r="T1070" s="42"/>
      <c r="U1070" s="42"/>
      <c r="V1070" s="42"/>
      <c r="W1070" s="42"/>
      <c r="X1070" s="42"/>
      <c r="Y1070" s="42"/>
      <c r="Z1070" s="42"/>
    </row>
    <row r="1071" ht="114.0" customHeight="1">
      <c r="A1071" s="57" t="s">
        <v>3051</v>
      </c>
      <c r="B1071" s="57" t="s">
        <v>200</v>
      </c>
      <c r="C1071" s="57" t="s">
        <v>3217</v>
      </c>
      <c r="D1071" s="57" t="s">
        <v>3218</v>
      </c>
      <c r="E1071" s="57"/>
      <c r="F1071" s="58">
        <v>614900.0</v>
      </c>
      <c r="G1071" s="57" t="s">
        <v>3213</v>
      </c>
      <c r="H1071" s="59" t="s">
        <v>594</v>
      </c>
      <c r="I1071" s="59" t="s">
        <v>3056</v>
      </c>
      <c r="J1071" s="61" t="s">
        <v>3214</v>
      </c>
      <c r="K1071" s="67">
        <v>26451.0</v>
      </c>
      <c r="L1071" s="42"/>
      <c r="M1071" s="42"/>
      <c r="N1071" s="42"/>
      <c r="O1071" s="42"/>
      <c r="P1071" s="42"/>
      <c r="Q1071" s="42"/>
      <c r="R1071" s="42"/>
      <c r="S1071" s="42"/>
      <c r="T1071" s="42"/>
      <c r="U1071" s="42"/>
      <c r="V1071" s="42"/>
      <c r="W1071" s="42"/>
      <c r="X1071" s="42"/>
      <c r="Y1071" s="42"/>
      <c r="Z1071" s="42"/>
    </row>
    <row r="1072" ht="114.0" customHeight="1">
      <c r="A1072" s="57" t="s">
        <v>3051</v>
      </c>
      <c r="B1072" s="57" t="s">
        <v>200</v>
      </c>
      <c r="C1072" s="57" t="s">
        <v>3219</v>
      </c>
      <c r="D1072" s="57" t="s">
        <v>3220</v>
      </c>
      <c r="E1072" s="57"/>
      <c r="F1072" s="58">
        <v>890300.0</v>
      </c>
      <c r="G1072" s="57" t="s">
        <v>3213</v>
      </c>
      <c r="H1072" s="59" t="s">
        <v>594</v>
      </c>
      <c r="I1072" s="59" t="s">
        <v>3056</v>
      </c>
      <c r="J1072" s="61" t="s">
        <v>3214</v>
      </c>
      <c r="K1072" s="67">
        <v>26451.0</v>
      </c>
      <c r="L1072" s="42"/>
      <c r="M1072" s="42"/>
      <c r="N1072" s="42"/>
      <c r="O1072" s="42"/>
      <c r="P1072" s="42"/>
      <c r="Q1072" s="42"/>
      <c r="R1072" s="42"/>
      <c r="S1072" s="42"/>
      <c r="T1072" s="42"/>
      <c r="U1072" s="42"/>
      <c r="V1072" s="42"/>
      <c r="W1072" s="42"/>
      <c r="X1072" s="42"/>
      <c r="Y1072" s="42"/>
      <c r="Z1072" s="42"/>
    </row>
    <row r="1073" ht="114.0" customHeight="1">
      <c r="A1073" s="57" t="s">
        <v>3051</v>
      </c>
      <c r="B1073" s="57" t="s">
        <v>200</v>
      </c>
      <c r="C1073" s="57" t="s">
        <v>3221</v>
      </c>
      <c r="D1073" s="57" t="s">
        <v>3222</v>
      </c>
      <c r="E1073" s="57"/>
      <c r="F1073" s="58">
        <v>1077900.0</v>
      </c>
      <c r="G1073" s="57" t="s">
        <v>3213</v>
      </c>
      <c r="H1073" s="59" t="s">
        <v>594</v>
      </c>
      <c r="I1073" s="59" t="s">
        <v>3056</v>
      </c>
      <c r="J1073" s="61" t="s">
        <v>3214</v>
      </c>
      <c r="K1073" s="67">
        <v>26451.0</v>
      </c>
      <c r="L1073" s="42"/>
      <c r="M1073" s="42"/>
      <c r="N1073" s="42"/>
      <c r="O1073" s="42"/>
      <c r="P1073" s="42"/>
      <c r="Q1073" s="42"/>
      <c r="R1073" s="42"/>
      <c r="S1073" s="42"/>
      <c r="T1073" s="42"/>
      <c r="U1073" s="42"/>
      <c r="V1073" s="42"/>
      <c r="W1073" s="42"/>
      <c r="X1073" s="42"/>
      <c r="Y1073" s="42"/>
      <c r="Z1073" s="42"/>
    </row>
    <row r="1074" ht="114.0" customHeight="1">
      <c r="A1074" s="57" t="s">
        <v>3051</v>
      </c>
      <c r="B1074" s="57" t="s">
        <v>200</v>
      </c>
      <c r="C1074" s="57" t="s">
        <v>3223</v>
      </c>
      <c r="D1074" s="57" t="s">
        <v>3224</v>
      </c>
      <c r="E1074" s="57"/>
      <c r="F1074" s="58">
        <v>1252600.0</v>
      </c>
      <c r="G1074" s="57" t="s">
        <v>3213</v>
      </c>
      <c r="H1074" s="59" t="s">
        <v>594</v>
      </c>
      <c r="I1074" s="59" t="s">
        <v>3056</v>
      </c>
      <c r="J1074" s="61" t="s">
        <v>3214</v>
      </c>
      <c r="K1074" s="67">
        <v>26451.0</v>
      </c>
      <c r="L1074" s="42"/>
      <c r="M1074" s="42"/>
      <c r="N1074" s="42"/>
      <c r="O1074" s="42"/>
      <c r="P1074" s="42"/>
      <c r="Q1074" s="42"/>
      <c r="R1074" s="42"/>
      <c r="S1074" s="42"/>
      <c r="T1074" s="42"/>
      <c r="U1074" s="42"/>
      <c r="V1074" s="42"/>
      <c r="W1074" s="42"/>
      <c r="X1074" s="42"/>
      <c r="Y1074" s="42"/>
      <c r="Z1074" s="42"/>
    </row>
    <row r="1075" ht="114.0" customHeight="1">
      <c r="A1075" s="57" t="s">
        <v>3051</v>
      </c>
      <c r="B1075" s="57" t="s">
        <v>200</v>
      </c>
      <c r="C1075" s="57" t="s">
        <v>3225</v>
      </c>
      <c r="D1075" s="57" t="s">
        <v>3226</v>
      </c>
      <c r="E1075" s="57"/>
      <c r="F1075" s="58">
        <v>1328500.0</v>
      </c>
      <c r="G1075" s="57" t="s">
        <v>3213</v>
      </c>
      <c r="H1075" s="59" t="s">
        <v>594</v>
      </c>
      <c r="I1075" s="59" t="s">
        <v>3056</v>
      </c>
      <c r="J1075" s="61" t="s">
        <v>3214</v>
      </c>
      <c r="K1075" s="67">
        <v>26451.0</v>
      </c>
      <c r="L1075" s="42"/>
      <c r="M1075" s="42"/>
      <c r="N1075" s="42"/>
      <c r="O1075" s="42"/>
      <c r="P1075" s="42"/>
      <c r="Q1075" s="42"/>
      <c r="R1075" s="42"/>
      <c r="S1075" s="42"/>
      <c r="T1075" s="42"/>
      <c r="U1075" s="42"/>
      <c r="V1075" s="42"/>
      <c r="W1075" s="42"/>
      <c r="X1075" s="42"/>
      <c r="Y1075" s="42"/>
      <c r="Z1075" s="42"/>
    </row>
    <row r="1076" ht="114.0" customHeight="1">
      <c r="A1076" s="57" t="s">
        <v>3051</v>
      </c>
      <c r="B1076" s="57" t="s">
        <v>200</v>
      </c>
      <c r="C1076" s="57" t="s">
        <v>3227</v>
      </c>
      <c r="D1076" s="57" t="s">
        <v>3228</v>
      </c>
      <c r="E1076" s="57"/>
      <c r="F1076" s="58">
        <v>1616900.0</v>
      </c>
      <c r="G1076" s="57" t="s">
        <v>3213</v>
      </c>
      <c r="H1076" s="59" t="s">
        <v>594</v>
      </c>
      <c r="I1076" s="59" t="s">
        <v>3056</v>
      </c>
      <c r="J1076" s="61" t="s">
        <v>3214</v>
      </c>
      <c r="K1076" s="67">
        <v>26451.0</v>
      </c>
      <c r="L1076" s="42"/>
      <c r="M1076" s="42"/>
      <c r="N1076" s="42"/>
      <c r="O1076" s="42"/>
      <c r="P1076" s="42"/>
      <c r="Q1076" s="42"/>
      <c r="R1076" s="42"/>
      <c r="S1076" s="42"/>
      <c r="T1076" s="42"/>
      <c r="U1076" s="42"/>
      <c r="V1076" s="42"/>
      <c r="W1076" s="42"/>
      <c r="X1076" s="42"/>
      <c r="Y1076" s="42"/>
      <c r="Z1076" s="42"/>
    </row>
    <row r="1077" ht="114.0" customHeight="1">
      <c r="A1077" s="57" t="s">
        <v>3051</v>
      </c>
      <c r="B1077" s="57" t="s">
        <v>200</v>
      </c>
      <c r="C1077" s="57" t="s">
        <v>3229</v>
      </c>
      <c r="D1077" s="57" t="s">
        <v>3230</v>
      </c>
      <c r="E1077" s="57"/>
      <c r="F1077" s="58">
        <v>1723300.0</v>
      </c>
      <c r="G1077" s="57" t="s">
        <v>3213</v>
      </c>
      <c r="H1077" s="59" t="s">
        <v>594</v>
      </c>
      <c r="I1077" s="59" t="s">
        <v>3056</v>
      </c>
      <c r="J1077" s="61" t="s">
        <v>3214</v>
      </c>
      <c r="K1077" s="67">
        <v>26451.0</v>
      </c>
      <c r="L1077" s="42"/>
      <c r="M1077" s="42"/>
      <c r="N1077" s="42"/>
      <c r="O1077" s="42"/>
      <c r="P1077" s="42"/>
      <c r="Q1077" s="42"/>
      <c r="R1077" s="42"/>
      <c r="S1077" s="42"/>
      <c r="T1077" s="42"/>
      <c r="U1077" s="42"/>
      <c r="V1077" s="42"/>
      <c r="W1077" s="42"/>
      <c r="X1077" s="42"/>
      <c r="Y1077" s="42"/>
      <c r="Z1077" s="42"/>
    </row>
    <row r="1078" ht="114.0" customHeight="1">
      <c r="A1078" s="57" t="s">
        <v>3051</v>
      </c>
      <c r="B1078" s="57" t="s">
        <v>200</v>
      </c>
      <c r="C1078" s="57" t="s">
        <v>3231</v>
      </c>
      <c r="D1078" s="57" t="s">
        <v>3232</v>
      </c>
      <c r="E1078" s="57"/>
      <c r="F1078" s="58">
        <v>2148200.0</v>
      </c>
      <c r="G1078" s="57" t="s">
        <v>3213</v>
      </c>
      <c r="H1078" s="59" t="s">
        <v>594</v>
      </c>
      <c r="I1078" s="59" t="s">
        <v>3056</v>
      </c>
      <c r="J1078" s="61" t="s">
        <v>3214</v>
      </c>
      <c r="K1078" s="67">
        <v>26451.0</v>
      </c>
      <c r="L1078" s="42"/>
      <c r="M1078" s="42"/>
      <c r="N1078" s="42"/>
      <c r="O1078" s="42"/>
      <c r="P1078" s="42"/>
      <c r="Q1078" s="42"/>
      <c r="R1078" s="42"/>
      <c r="S1078" s="42"/>
      <c r="T1078" s="42"/>
      <c r="U1078" s="42"/>
      <c r="V1078" s="42"/>
      <c r="W1078" s="42"/>
      <c r="X1078" s="42"/>
      <c r="Y1078" s="42"/>
      <c r="Z1078" s="42"/>
    </row>
    <row r="1079" ht="114.0" customHeight="1">
      <c r="A1079" s="57" t="s">
        <v>3051</v>
      </c>
      <c r="B1079" s="57" t="s">
        <v>200</v>
      </c>
      <c r="C1079" s="57" t="s">
        <v>3233</v>
      </c>
      <c r="D1079" s="57" t="s">
        <v>3234</v>
      </c>
      <c r="E1079" s="57"/>
      <c r="F1079" s="58">
        <v>2300000.0</v>
      </c>
      <c r="G1079" s="57" t="s">
        <v>3213</v>
      </c>
      <c r="H1079" s="59" t="s">
        <v>594</v>
      </c>
      <c r="I1079" s="59" t="s">
        <v>3056</v>
      </c>
      <c r="J1079" s="61" t="s">
        <v>3214</v>
      </c>
      <c r="K1079" s="67">
        <v>26451.0</v>
      </c>
      <c r="L1079" s="42"/>
      <c r="M1079" s="42"/>
      <c r="N1079" s="42"/>
      <c r="O1079" s="42"/>
      <c r="P1079" s="42"/>
      <c r="Q1079" s="42"/>
      <c r="R1079" s="42"/>
      <c r="S1079" s="42"/>
      <c r="T1079" s="42"/>
      <c r="U1079" s="42"/>
      <c r="V1079" s="42"/>
      <c r="W1079" s="42"/>
      <c r="X1079" s="42"/>
      <c r="Y1079" s="42"/>
      <c r="Z1079" s="42"/>
    </row>
    <row r="1080" ht="114.0" customHeight="1">
      <c r="A1080" s="57" t="s">
        <v>3051</v>
      </c>
      <c r="B1080" s="57" t="s">
        <v>200</v>
      </c>
      <c r="C1080" s="57" t="s">
        <v>3235</v>
      </c>
      <c r="D1080" s="57" t="s">
        <v>3236</v>
      </c>
      <c r="E1080" s="57"/>
      <c r="F1080" s="58">
        <v>2000.0</v>
      </c>
      <c r="G1080" s="57" t="s">
        <v>3237</v>
      </c>
      <c r="H1080" s="59" t="s">
        <v>594</v>
      </c>
      <c r="I1080" s="59" t="s">
        <v>3238</v>
      </c>
      <c r="J1080" s="61" t="s">
        <v>3239</v>
      </c>
      <c r="K1080" s="67">
        <v>25628.0</v>
      </c>
      <c r="L1080" s="42"/>
      <c r="M1080" s="42"/>
      <c r="N1080" s="42"/>
      <c r="O1080" s="42"/>
      <c r="P1080" s="42"/>
      <c r="Q1080" s="42"/>
      <c r="R1080" s="42"/>
      <c r="S1080" s="42"/>
      <c r="T1080" s="42"/>
      <c r="U1080" s="42"/>
      <c r="V1080" s="42"/>
      <c r="W1080" s="42"/>
      <c r="X1080" s="42"/>
      <c r="Y1080" s="42"/>
      <c r="Z1080" s="42"/>
    </row>
    <row r="1081" ht="142.5" customHeight="1">
      <c r="A1081" s="57" t="s">
        <v>3051</v>
      </c>
      <c r="B1081" s="57" t="s">
        <v>200</v>
      </c>
      <c r="C1081" s="57" t="s">
        <v>3240</v>
      </c>
      <c r="D1081" s="57" t="s">
        <v>3241</v>
      </c>
      <c r="E1081" s="57"/>
      <c r="F1081" s="58">
        <v>1200000.0</v>
      </c>
      <c r="G1081" s="57" t="s">
        <v>3237</v>
      </c>
      <c r="H1081" s="59" t="s">
        <v>594</v>
      </c>
      <c r="I1081" s="59" t="s">
        <v>3238</v>
      </c>
      <c r="J1081" s="61" t="s">
        <v>3239</v>
      </c>
      <c r="K1081" s="67">
        <v>25628.0</v>
      </c>
      <c r="L1081" s="42"/>
      <c r="M1081" s="42"/>
      <c r="N1081" s="42"/>
      <c r="O1081" s="42"/>
      <c r="P1081" s="42"/>
      <c r="Q1081" s="42"/>
      <c r="R1081" s="42"/>
      <c r="S1081" s="42"/>
      <c r="T1081" s="42"/>
      <c r="U1081" s="42"/>
      <c r="V1081" s="42"/>
      <c r="W1081" s="42"/>
      <c r="X1081" s="42"/>
      <c r="Y1081" s="42"/>
      <c r="Z1081" s="42"/>
    </row>
    <row r="1082" ht="57.0" customHeight="1">
      <c r="A1082" s="57" t="s">
        <v>3051</v>
      </c>
      <c r="B1082" s="57" t="s">
        <v>200</v>
      </c>
      <c r="C1082" s="57" t="s">
        <v>3242</v>
      </c>
      <c r="D1082" s="57" t="s">
        <v>3243</v>
      </c>
      <c r="E1082" s="57"/>
      <c r="F1082" s="58">
        <v>12000.0</v>
      </c>
      <c r="G1082" s="57" t="s">
        <v>251</v>
      </c>
      <c r="H1082" s="59" t="s">
        <v>3055</v>
      </c>
      <c r="I1082" s="59" t="s">
        <v>953</v>
      </c>
      <c r="J1082" s="61"/>
      <c r="K1082" s="61"/>
      <c r="L1082" s="42"/>
      <c r="M1082" s="42"/>
      <c r="N1082" s="42"/>
      <c r="O1082" s="42"/>
      <c r="P1082" s="42"/>
      <c r="Q1082" s="42"/>
      <c r="R1082" s="42"/>
      <c r="S1082" s="42"/>
      <c r="T1082" s="42"/>
      <c r="U1082" s="42"/>
      <c r="V1082" s="42"/>
      <c r="W1082" s="42"/>
      <c r="X1082" s="42"/>
      <c r="Y1082" s="42"/>
      <c r="Z1082" s="42"/>
    </row>
    <row r="1083" ht="57.0" customHeight="1">
      <c r="A1083" s="57" t="s">
        <v>3051</v>
      </c>
      <c r="B1083" s="57" t="s">
        <v>200</v>
      </c>
      <c r="C1083" s="57" t="s">
        <v>3244</v>
      </c>
      <c r="D1083" s="57" t="s">
        <v>3245</v>
      </c>
      <c r="E1083" s="57"/>
      <c r="F1083" s="58">
        <v>700.0</v>
      </c>
      <c r="G1083" s="57" t="s">
        <v>3246</v>
      </c>
      <c r="H1083" s="59" t="s">
        <v>3055</v>
      </c>
      <c r="I1083" s="59" t="s">
        <v>953</v>
      </c>
      <c r="J1083" s="61"/>
      <c r="K1083" s="61"/>
      <c r="L1083" s="42"/>
      <c r="M1083" s="42"/>
      <c r="N1083" s="42"/>
      <c r="O1083" s="42"/>
      <c r="P1083" s="42"/>
      <c r="Q1083" s="42"/>
      <c r="R1083" s="42"/>
      <c r="S1083" s="42"/>
      <c r="T1083" s="42"/>
      <c r="U1083" s="42"/>
      <c r="V1083" s="42"/>
      <c r="W1083" s="42"/>
      <c r="X1083" s="42"/>
      <c r="Y1083" s="42"/>
      <c r="Z1083" s="42"/>
    </row>
    <row r="1084" ht="57.0" customHeight="1">
      <c r="A1084" s="57" t="s">
        <v>3051</v>
      </c>
      <c r="B1084" s="57" t="s">
        <v>200</v>
      </c>
      <c r="C1084" s="57" t="s">
        <v>3247</v>
      </c>
      <c r="D1084" s="57" t="s">
        <v>3248</v>
      </c>
      <c r="E1084" s="57"/>
      <c r="F1084" s="58">
        <v>780000.0</v>
      </c>
      <c r="G1084" s="57" t="s">
        <v>251</v>
      </c>
      <c r="H1084" s="59" t="s">
        <v>3055</v>
      </c>
      <c r="I1084" s="59" t="s">
        <v>953</v>
      </c>
      <c r="J1084" s="61"/>
      <c r="K1084" s="61"/>
      <c r="L1084" s="42"/>
      <c r="M1084" s="42"/>
      <c r="N1084" s="42"/>
      <c r="O1084" s="42"/>
      <c r="P1084" s="42"/>
      <c r="Q1084" s="42"/>
      <c r="R1084" s="42"/>
      <c r="S1084" s="42"/>
      <c r="T1084" s="42"/>
      <c r="U1084" s="42"/>
      <c r="V1084" s="42"/>
      <c r="W1084" s="42"/>
      <c r="X1084" s="42"/>
      <c r="Y1084" s="42"/>
      <c r="Z1084" s="42"/>
    </row>
    <row r="1085" ht="57.0" customHeight="1">
      <c r="A1085" s="57" t="s">
        <v>3051</v>
      </c>
      <c r="B1085" s="57" t="s">
        <v>200</v>
      </c>
      <c r="C1085" s="57" t="s">
        <v>3249</v>
      </c>
      <c r="D1085" s="57" t="s">
        <v>3250</v>
      </c>
      <c r="E1085" s="57"/>
      <c r="F1085" s="58">
        <v>20000.0</v>
      </c>
      <c r="G1085" s="57" t="s">
        <v>251</v>
      </c>
      <c r="H1085" s="59" t="s">
        <v>3055</v>
      </c>
      <c r="I1085" s="59" t="s">
        <v>953</v>
      </c>
      <c r="J1085" s="61"/>
      <c r="K1085" s="61"/>
      <c r="L1085" s="42"/>
      <c r="M1085" s="42"/>
      <c r="N1085" s="42"/>
      <c r="O1085" s="42"/>
      <c r="P1085" s="42"/>
      <c r="Q1085" s="42"/>
      <c r="R1085" s="42"/>
      <c r="S1085" s="42"/>
      <c r="T1085" s="42"/>
      <c r="U1085" s="42"/>
      <c r="V1085" s="42"/>
      <c r="W1085" s="42"/>
      <c r="X1085" s="42"/>
      <c r="Y1085" s="42"/>
      <c r="Z1085" s="42"/>
    </row>
    <row r="1086" ht="57.0" customHeight="1">
      <c r="A1086" s="57" t="s">
        <v>3051</v>
      </c>
      <c r="B1086" s="57" t="s">
        <v>200</v>
      </c>
      <c r="C1086" s="57" t="s">
        <v>3251</v>
      </c>
      <c r="D1086" s="57" t="s">
        <v>3252</v>
      </c>
      <c r="E1086" s="57"/>
      <c r="F1086" s="58">
        <v>24000.0</v>
      </c>
      <c r="G1086" s="57" t="s">
        <v>251</v>
      </c>
      <c r="H1086" s="59" t="s">
        <v>3055</v>
      </c>
      <c r="I1086" s="59" t="s">
        <v>953</v>
      </c>
      <c r="J1086" s="61"/>
      <c r="K1086" s="61"/>
      <c r="L1086" s="42"/>
      <c r="M1086" s="42"/>
      <c r="N1086" s="42"/>
      <c r="O1086" s="42"/>
      <c r="P1086" s="42"/>
      <c r="Q1086" s="42"/>
      <c r="R1086" s="42"/>
      <c r="S1086" s="42"/>
      <c r="T1086" s="42"/>
      <c r="U1086" s="42"/>
      <c r="V1086" s="42"/>
      <c r="W1086" s="42"/>
      <c r="X1086" s="42"/>
      <c r="Y1086" s="42"/>
      <c r="Z1086" s="42"/>
    </row>
    <row r="1087" ht="57.0" customHeight="1">
      <c r="A1087" s="57" t="s">
        <v>3051</v>
      </c>
      <c r="B1087" s="57" t="s">
        <v>200</v>
      </c>
      <c r="C1087" s="57" t="s">
        <v>3253</v>
      </c>
      <c r="D1087" s="57" t="s">
        <v>3254</v>
      </c>
      <c r="E1087" s="57"/>
      <c r="F1087" s="58">
        <v>34000.0</v>
      </c>
      <c r="G1087" s="57" t="s">
        <v>251</v>
      </c>
      <c r="H1087" s="59" t="s">
        <v>3055</v>
      </c>
      <c r="I1087" s="59" t="s">
        <v>953</v>
      </c>
      <c r="J1087" s="61"/>
      <c r="K1087" s="61"/>
      <c r="L1087" s="42"/>
      <c r="M1087" s="42"/>
      <c r="N1087" s="42"/>
      <c r="O1087" s="42"/>
      <c r="P1087" s="42"/>
      <c r="Q1087" s="42"/>
      <c r="R1087" s="42"/>
      <c r="S1087" s="42"/>
      <c r="T1087" s="42"/>
      <c r="U1087" s="42"/>
      <c r="V1087" s="42"/>
      <c r="W1087" s="42"/>
      <c r="X1087" s="42"/>
      <c r="Y1087" s="42"/>
      <c r="Z1087" s="42"/>
    </row>
    <row r="1088" ht="57.0" customHeight="1">
      <c r="A1088" s="57" t="s">
        <v>3051</v>
      </c>
      <c r="B1088" s="57" t="s">
        <v>200</v>
      </c>
      <c r="C1088" s="57" t="s">
        <v>3255</v>
      </c>
      <c r="D1088" s="57" t="s">
        <v>3256</v>
      </c>
      <c r="E1088" s="57"/>
      <c r="F1088" s="58">
        <v>30000.0</v>
      </c>
      <c r="G1088" s="57" t="s">
        <v>251</v>
      </c>
      <c r="H1088" s="59" t="s">
        <v>3055</v>
      </c>
      <c r="I1088" s="59" t="s">
        <v>953</v>
      </c>
      <c r="J1088" s="61"/>
      <c r="K1088" s="61"/>
      <c r="L1088" s="42"/>
      <c r="M1088" s="42"/>
      <c r="N1088" s="42"/>
      <c r="O1088" s="42"/>
      <c r="P1088" s="42"/>
      <c r="Q1088" s="42"/>
      <c r="R1088" s="42"/>
      <c r="S1088" s="42"/>
      <c r="T1088" s="42"/>
      <c r="U1088" s="42"/>
      <c r="V1088" s="42"/>
      <c r="W1088" s="42"/>
      <c r="X1088" s="42"/>
      <c r="Y1088" s="42"/>
      <c r="Z1088" s="42"/>
    </row>
    <row r="1089" ht="57.0" customHeight="1">
      <c r="A1089" s="57" t="s">
        <v>3051</v>
      </c>
      <c r="B1089" s="57" t="s">
        <v>200</v>
      </c>
      <c r="C1089" s="57" t="s">
        <v>3257</v>
      </c>
      <c r="D1089" s="57" t="s">
        <v>3258</v>
      </c>
      <c r="E1089" s="57"/>
      <c r="F1089" s="58">
        <v>17000.0</v>
      </c>
      <c r="G1089" s="57" t="s">
        <v>251</v>
      </c>
      <c r="H1089" s="59" t="s">
        <v>3055</v>
      </c>
      <c r="I1089" s="59" t="s">
        <v>953</v>
      </c>
      <c r="J1089" s="61"/>
      <c r="K1089" s="61"/>
      <c r="L1089" s="42"/>
      <c r="M1089" s="42"/>
      <c r="N1089" s="42"/>
      <c r="O1089" s="42"/>
      <c r="P1089" s="42"/>
      <c r="Q1089" s="42"/>
      <c r="R1089" s="42"/>
      <c r="S1089" s="42"/>
      <c r="T1089" s="42"/>
      <c r="U1089" s="42"/>
      <c r="V1089" s="42"/>
      <c r="W1089" s="42"/>
      <c r="X1089" s="42"/>
      <c r="Y1089" s="42"/>
      <c r="Z1089" s="42"/>
    </row>
    <row r="1090" ht="57.0" customHeight="1">
      <c r="A1090" s="57" t="s">
        <v>3051</v>
      </c>
      <c r="B1090" s="57" t="s">
        <v>200</v>
      </c>
      <c r="C1090" s="57" t="s">
        <v>3259</v>
      </c>
      <c r="D1090" s="57" t="s">
        <v>3260</v>
      </c>
      <c r="E1090" s="57"/>
      <c r="F1090" s="58">
        <v>21000.0</v>
      </c>
      <c r="G1090" s="57" t="s">
        <v>251</v>
      </c>
      <c r="H1090" s="59" t="s">
        <v>3055</v>
      </c>
      <c r="I1090" s="59" t="s">
        <v>953</v>
      </c>
      <c r="J1090" s="61"/>
      <c r="K1090" s="61"/>
      <c r="L1090" s="42"/>
      <c r="M1090" s="42"/>
      <c r="N1090" s="42"/>
      <c r="O1090" s="42"/>
      <c r="P1090" s="42"/>
      <c r="Q1090" s="42"/>
      <c r="R1090" s="42"/>
      <c r="S1090" s="42"/>
      <c r="T1090" s="42"/>
      <c r="U1090" s="42"/>
      <c r="V1090" s="42"/>
      <c r="W1090" s="42"/>
      <c r="X1090" s="42"/>
      <c r="Y1090" s="42"/>
      <c r="Z1090" s="42"/>
    </row>
    <row r="1091" ht="57.0" customHeight="1">
      <c r="A1091" s="57" t="s">
        <v>3051</v>
      </c>
      <c r="B1091" s="57" t="s">
        <v>200</v>
      </c>
      <c r="C1091" s="57" t="s">
        <v>3261</v>
      </c>
      <c r="D1091" s="57" t="s">
        <v>3262</v>
      </c>
      <c r="E1091" s="57"/>
      <c r="F1091" s="58">
        <v>8900.0</v>
      </c>
      <c r="G1091" s="57" t="s">
        <v>251</v>
      </c>
      <c r="H1091" s="59" t="s">
        <v>3055</v>
      </c>
      <c r="I1091" s="59" t="s">
        <v>953</v>
      </c>
      <c r="J1091" s="61"/>
      <c r="K1091" s="61"/>
      <c r="L1091" s="42"/>
      <c r="M1091" s="42"/>
      <c r="N1091" s="42"/>
      <c r="O1091" s="42"/>
      <c r="P1091" s="42"/>
      <c r="Q1091" s="42"/>
      <c r="R1091" s="42"/>
      <c r="S1091" s="42"/>
      <c r="T1091" s="42"/>
      <c r="U1091" s="42"/>
      <c r="V1091" s="42"/>
      <c r="W1091" s="42"/>
      <c r="X1091" s="42"/>
      <c r="Y1091" s="42"/>
      <c r="Z1091" s="42"/>
    </row>
    <row r="1092" ht="57.0" customHeight="1">
      <c r="A1092" s="57" t="s">
        <v>3051</v>
      </c>
      <c r="B1092" s="57" t="s">
        <v>200</v>
      </c>
      <c r="C1092" s="57" t="s">
        <v>3263</v>
      </c>
      <c r="D1092" s="57" t="s">
        <v>3264</v>
      </c>
      <c r="E1092" s="57"/>
      <c r="F1092" s="58">
        <v>25000.0</v>
      </c>
      <c r="G1092" s="57" t="s">
        <v>251</v>
      </c>
      <c r="H1092" s="59" t="s">
        <v>3055</v>
      </c>
      <c r="I1092" s="59" t="s">
        <v>953</v>
      </c>
      <c r="J1092" s="61"/>
      <c r="K1092" s="61"/>
      <c r="L1092" s="42"/>
      <c r="M1092" s="42"/>
      <c r="N1092" s="42"/>
      <c r="O1092" s="42"/>
      <c r="P1092" s="42"/>
      <c r="Q1092" s="42"/>
      <c r="R1092" s="42"/>
      <c r="S1092" s="42"/>
      <c r="T1092" s="42"/>
      <c r="U1092" s="42"/>
      <c r="V1092" s="42"/>
      <c r="W1092" s="42"/>
      <c r="X1092" s="42"/>
      <c r="Y1092" s="42"/>
      <c r="Z1092" s="42"/>
    </row>
    <row r="1093" ht="57.0" customHeight="1">
      <c r="A1093" s="57" t="s">
        <v>3051</v>
      </c>
      <c r="B1093" s="57" t="s">
        <v>200</v>
      </c>
      <c r="C1093" s="57" t="s">
        <v>3265</v>
      </c>
      <c r="D1093" s="57" t="s">
        <v>3266</v>
      </c>
      <c r="E1093" s="57"/>
      <c r="F1093" s="58">
        <v>3000.0</v>
      </c>
      <c r="G1093" s="57" t="s">
        <v>3267</v>
      </c>
      <c r="H1093" s="59" t="s">
        <v>3055</v>
      </c>
      <c r="I1093" s="59" t="s">
        <v>953</v>
      </c>
      <c r="J1093" s="61"/>
      <c r="K1093" s="61"/>
      <c r="L1093" s="42"/>
      <c r="M1093" s="42"/>
      <c r="N1093" s="42"/>
      <c r="O1093" s="42"/>
      <c r="P1093" s="42"/>
      <c r="Q1093" s="42"/>
      <c r="R1093" s="42"/>
      <c r="S1093" s="42"/>
      <c r="T1093" s="42"/>
      <c r="U1093" s="42"/>
      <c r="V1093" s="42"/>
      <c r="W1093" s="42"/>
      <c r="X1093" s="42"/>
      <c r="Y1093" s="42"/>
      <c r="Z1093" s="42"/>
    </row>
    <row r="1094" ht="57.0" customHeight="1">
      <c r="A1094" s="57" t="s">
        <v>3051</v>
      </c>
      <c r="B1094" s="57" t="s">
        <v>200</v>
      </c>
      <c r="C1094" s="57" t="s">
        <v>3268</v>
      </c>
      <c r="D1094" s="57" t="s">
        <v>3269</v>
      </c>
      <c r="E1094" s="57"/>
      <c r="F1094" s="58">
        <v>4300.0</v>
      </c>
      <c r="G1094" s="57" t="s">
        <v>3267</v>
      </c>
      <c r="H1094" s="59" t="s">
        <v>3055</v>
      </c>
      <c r="I1094" s="59" t="s">
        <v>953</v>
      </c>
      <c r="J1094" s="61"/>
      <c r="K1094" s="61"/>
      <c r="L1094" s="42"/>
      <c r="M1094" s="42"/>
      <c r="N1094" s="42"/>
      <c r="O1094" s="42"/>
      <c r="P1094" s="42"/>
      <c r="Q1094" s="42"/>
      <c r="R1094" s="42"/>
      <c r="S1094" s="42"/>
      <c r="T1094" s="42"/>
      <c r="U1094" s="42"/>
      <c r="V1094" s="42"/>
      <c r="W1094" s="42"/>
      <c r="X1094" s="42"/>
      <c r="Y1094" s="42"/>
      <c r="Z1094" s="42"/>
    </row>
    <row r="1095" ht="57.0" customHeight="1">
      <c r="A1095" s="57" t="s">
        <v>3051</v>
      </c>
      <c r="B1095" s="57" t="s">
        <v>200</v>
      </c>
      <c r="C1095" s="57" t="s">
        <v>3270</v>
      </c>
      <c r="D1095" s="57" t="s">
        <v>3271</v>
      </c>
      <c r="E1095" s="57"/>
      <c r="F1095" s="58">
        <v>6000.0</v>
      </c>
      <c r="G1095" s="57" t="s">
        <v>251</v>
      </c>
      <c r="H1095" s="59" t="s">
        <v>3055</v>
      </c>
      <c r="I1095" s="59" t="s">
        <v>953</v>
      </c>
      <c r="J1095" s="61"/>
      <c r="K1095" s="61"/>
      <c r="L1095" s="42"/>
      <c r="M1095" s="42"/>
      <c r="N1095" s="42"/>
      <c r="O1095" s="42"/>
      <c r="P1095" s="42"/>
      <c r="Q1095" s="42"/>
      <c r="R1095" s="42"/>
      <c r="S1095" s="42"/>
      <c r="T1095" s="42"/>
      <c r="U1095" s="42"/>
      <c r="V1095" s="42"/>
      <c r="W1095" s="42"/>
      <c r="X1095" s="42"/>
      <c r="Y1095" s="42"/>
      <c r="Z1095" s="42"/>
    </row>
    <row r="1096" ht="57.0" customHeight="1">
      <c r="A1096" s="52" t="s">
        <v>3272</v>
      </c>
      <c r="B1096" s="52" t="s">
        <v>204</v>
      </c>
      <c r="C1096" s="52" t="s">
        <v>205</v>
      </c>
      <c r="D1096" s="52" t="s">
        <v>206</v>
      </c>
      <c r="E1096" s="52"/>
      <c r="F1096" s="62"/>
      <c r="G1096" s="52"/>
      <c r="H1096" s="63"/>
      <c r="I1096" s="63"/>
      <c r="J1096" s="54"/>
      <c r="K1096" s="54"/>
      <c r="L1096" s="56"/>
      <c r="M1096" s="56"/>
      <c r="N1096" s="56"/>
      <c r="O1096" s="56"/>
      <c r="P1096" s="56"/>
      <c r="Q1096" s="56"/>
      <c r="R1096" s="56"/>
      <c r="S1096" s="56"/>
      <c r="T1096" s="56"/>
      <c r="U1096" s="56"/>
      <c r="V1096" s="56"/>
      <c r="W1096" s="56"/>
      <c r="X1096" s="56"/>
      <c r="Y1096" s="56"/>
      <c r="Z1096" s="56"/>
    </row>
    <row r="1097" ht="57.0" customHeight="1">
      <c r="A1097" s="57" t="s">
        <v>3272</v>
      </c>
      <c r="B1097" s="57" t="s">
        <v>204</v>
      </c>
      <c r="C1097" s="57" t="s">
        <v>3273</v>
      </c>
      <c r="D1097" s="57" t="s">
        <v>3274</v>
      </c>
      <c r="E1097" s="57"/>
      <c r="F1097" s="58">
        <v>12900.0</v>
      </c>
      <c r="G1097" s="57" t="s">
        <v>3267</v>
      </c>
      <c r="H1097" s="59" t="s">
        <v>952</v>
      </c>
      <c r="I1097" s="59" t="s">
        <v>953</v>
      </c>
      <c r="J1097" s="61"/>
      <c r="K1097" s="61"/>
      <c r="L1097" s="42"/>
      <c r="M1097" s="42"/>
      <c r="N1097" s="42"/>
      <c r="O1097" s="42"/>
      <c r="P1097" s="42"/>
      <c r="Q1097" s="42"/>
      <c r="R1097" s="42"/>
      <c r="S1097" s="42"/>
      <c r="T1097" s="42"/>
      <c r="U1097" s="42"/>
      <c r="V1097" s="42"/>
      <c r="W1097" s="42"/>
      <c r="X1097" s="42"/>
      <c r="Y1097" s="42"/>
      <c r="Z1097" s="42"/>
    </row>
    <row r="1098" ht="57.0" customHeight="1">
      <c r="A1098" s="57" t="s">
        <v>3272</v>
      </c>
      <c r="B1098" s="57" t="s">
        <v>204</v>
      </c>
      <c r="C1098" s="57" t="s">
        <v>3275</v>
      </c>
      <c r="D1098" s="57" t="s">
        <v>3276</v>
      </c>
      <c r="E1098" s="57"/>
      <c r="F1098" s="58">
        <v>14900.0</v>
      </c>
      <c r="G1098" s="57" t="s">
        <v>3267</v>
      </c>
      <c r="H1098" s="59" t="s">
        <v>952</v>
      </c>
      <c r="I1098" s="59" t="s">
        <v>953</v>
      </c>
      <c r="J1098" s="61"/>
      <c r="K1098" s="61"/>
      <c r="L1098" s="42"/>
      <c r="M1098" s="42"/>
      <c r="N1098" s="42"/>
      <c r="O1098" s="42"/>
      <c r="P1098" s="42"/>
      <c r="Q1098" s="42"/>
      <c r="R1098" s="42"/>
      <c r="S1098" s="42"/>
      <c r="T1098" s="42"/>
      <c r="U1098" s="42"/>
      <c r="V1098" s="42"/>
      <c r="W1098" s="42"/>
      <c r="X1098" s="42"/>
      <c r="Y1098" s="42"/>
      <c r="Z1098" s="42"/>
    </row>
    <row r="1099" ht="57.0" customHeight="1">
      <c r="A1099" s="57" t="s">
        <v>3272</v>
      </c>
      <c r="B1099" s="57" t="s">
        <v>204</v>
      </c>
      <c r="C1099" s="57" t="s">
        <v>3277</v>
      </c>
      <c r="D1099" s="57" t="s">
        <v>3278</v>
      </c>
      <c r="E1099" s="57"/>
      <c r="F1099" s="58">
        <v>24100.0</v>
      </c>
      <c r="G1099" s="57" t="s">
        <v>3267</v>
      </c>
      <c r="H1099" s="59" t="s">
        <v>952</v>
      </c>
      <c r="I1099" s="59" t="s">
        <v>953</v>
      </c>
      <c r="J1099" s="61"/>
      <c r="K1099" s="61"/>
      <c r="L1099" s="42"/>
      <c r="M1099" s="42"/>
      <c r="N1099" s="42"/>
      <c r="O1099" s="42"/>
      <c r="P1099" s="42"/>
      <c r="Q1099" s="42"/>
      <c r="R1099" s="42"/>
      <c r="S1099" s="42"/>
      <c r="T1099" s="42"/>
      <c r="U1099" s="42"/>
      <c r="V1099" s="42"/>
      <c r="W1099" s="42"/>
      <c r="X1099" s="42"/>
      <c r="Y1099" s="42"/>
      <c r="Z1099" s="42"/>
    </row>
    <row r="1100" ht="57.0" customHeight="1">
      <c r="A1100" s="57" t="s">
        <v>3272</v>
      </c>
      <c r="B1100" s="57" t="s">
        <v>204</v>
      </c>
      <c r="C1100" s="57" t="s">
        <v>3279</v>
      </c>
      <c r="D1100" s="57" t="s">
        <v>3280</v>
      </c>
      <c r="E1100" s="57"/>
      <c r="F1100" s="58">
        <v>34900.0</v>
      </c>
      <c r="G1100" s="57" t="s">
        <v>3267</v>
      </c>
      <c r="H1100" s="59" t="s">
        <v>952</v>
      </c>
      <c r="I1100" s="59" t="s">
        <v>953</v>
      </c>
      <c r="J1100" s="61"/>
      <c r="K1100" s="61"/>
      <c r="L1100" s="42"/>
      <c r="M1100" s="42"/>
      <c r="N1100" s="42"/>
      <c r="O1100" s="42"/>
      <c r="P1100" s="42"/>
      <c r="Q1100" s="42"/>
      <c r="R1100" s="42"/>
      <c r="S1100" s="42"/>
      <c r="T1100" s="42"/>
      <c r="U1100" s="42"/>
      <c r="V1100" s="42"/>
      <c r="W1100" s="42"/>
      <c r="X1100" s="42"/>
      <c r="Y1100" s="42"/>
      <c r="Z1100" s="42"/>
    </row>
    <row r="1101" ht="57.0" customHeight="1">
      <c r="A1101" s="57" t="s">
        <v>3272</v>
      </c>
      <c r="B1101" s="57" t="s">
        <v>204</v>
      </c>
      <c r="C1101" s="57" t="s">
        <v>3281</v>
      </c>
      <c r="D1101" s="57" t="s">
        <v>3282</v>
      </c>
      <c r="E1101" s="57"/>
      <c r="F1101" s="58">
        <v>45000.0</v>
      </c>
      <c r="G1101" s="57" t="s">
        <v>3267</v>
      </c>
      <c r="H1101" s="59" t="s">
        <v>952</v>
      </c>
      <c r="I1101" s="59" t="s">
        <v>953</v>
      </c>
      <c r="J1101" s="61"/>
      <c r="K1101" s="61"/>
      <c r="L1101" s="42"/>
      <c r="M1101" s="42"/>
      <c r="N1101" s="42"/>
      <c r="O1101" s="42"/>
      <c r="P1101" s="42"/>
      <c r="Q1101" s="42"/>
      <c r="R1101" s="42"/>
      <c r="S1101" s="42"/>
      <c r="T1101" s="42"/>
      <c r="U1101" s="42"/>
      <c r="V1101" s="42"/>
      <c r="W1101" s="42"/>
      <c r="X1101" s="42"/>
      <c r="Y1101" s="42"/>
      <c r="Z1101" s="42"/>
    </row>
    <row r="1102" ht="57.0" customHeight="1">
      <c r="A1102" s="57" t="s">
        <v>3272</v>
      </c>
      <c r="B1102" s="57" t="s">
        <v>204</v>
      </c>
      <c r="C1102" s="57" t="s">
        <v>3283</v>
      </c>
      <c r="D1102" s="57" t="s">
        <v>3284</v>
      </c>
      <c r="E1102" s="57"/>
      <c r="F1102" s="58">
        <v>19600.0</v>
      </c>
      <c r="G1102" s="57" t="s">
        <v>251</v>
      </c>
      <c r="H1102" s="59" t="s">
        <v>952</v>
      </c>
      <c r="I1102" s="59" t="s">
        <v>953</v>
      </c>
      <c r="J1102" s="61"/>
      <c r="K1102" s="61"/>
      <c r="L1102" s="42"/>
      <c r="M1102" s="42"/>
      <c r="N1102" s="42"/>
      <c r="O1102" s="42"/>
      <c r="P1102" s="42"/>
      <c r="Q1102" s="42"/>
      <c r="R1102" s="42"/>
      <c r="S1102" s="42"/>
      <c r="T1102" s="42"/>
      <c r="U1102" s="42"/>
      <c r="V1102" s="42"/>
      <c r="W1102" s="42"/>
      <c r="X1102" s="42"/>
      <c r="Y1102" s="42"/>
      <c r="Z1102" s="42"/>
    </row>
    <row r="1103" ht="57.0" customHeight="1">
      <c r="A1103" s="57" t="s">
        <v>3272</v>
      </c>
      <c r="B1103" s="57" t="s">
        <v>204</v>
      </c>
      <c r="C1103" s="57" t="s">
        <v>3285</v>
      </c>
      <c r="D1103" s="57" t="s">
        <v>3286</v>
      </c>
      <c r="E1103" s="57"/>
      <c r="F1103" s="58">
        <v>23300.0</v>
      </c>
      <c r="G1103" s="57" t="s">
        <v>251</v>
      </c>
      <c r="H1103" s="59" t="s">
        <v>952</v>
      </c>
      <c r="I1103" s="59" t="s">
        <v>953</v>
      </c>
      <c r="J1103" s="61"/>
      <c r="K1103" s="61"/>
      <c r="L1103" s="42"/>
      <c r="M1103" s="42"/>
      <c r="N1103" s="42"/>
      <c r="O1103" s="42"/>
      <c r="P1103" s="42"/>
      <c r="Q1103" s="42"/>
      <c r="R1103" s="42"/>
      <c r="S1103" s="42"/>
      <c r="T1103" s="42"/>
      <c r="U1103" s="42"/>
      <c r="V1103" s="42"/>
      <c r="W1103" s="42"/>
      <c r="X1103" s="42"/>
      <c r="Y1103" s="42"/>
      <c r="Z1103" s="42"/>
    </row>
    <row r="1104" ht="57.0" customHeight="1">
      <c r="A1104" s="57" t="s">
        <v>3272</v>
      </c>
      <c r="B1104" s="57" t="s">
        <v>204</v>
      </c>
      <c r="C1104" s="57" t="s">
        <v>3287</v>
      </c>
      <c r="D1104" s="57" t="s">
        <v>3288</v>
      </c>
      <c r="E1104" s="57"/>
      <c r="F1104" s="58">
        <v>26500.0</v>
      </c>
      <c r="G1104" s="57" t="s">
        <v>251</v>
      </c>
      <c r="H1104" s="59" t="s">
        <v>952</v>
      </c>
      <c r="I1104" s="59" t="s">
        <v>953</v>
      </c>
      <c r="J1104" s="61"/>
      <c r="K1104" s="61"/>
      <c r="L1104" s="42"/>
      <c r="M1104" s="42"/>
      <c r="N1104" s="42"/>
      <c r="O1104" s="42"/>
      <c r="P1104" s="42"/>
      <c r="Q1104" s="42"/>
      <c r="R1104" s="42"/>
      <c r="S1104" s="42"/>
      <c r="T1104" s="42"/>
      <c r="U1104" s="42"/>
      <c r="V1104" s="42"/>
      <c r="W1104" s="42"/>
      <c r="X1104" s="42"/>
      <c r="Y1104" s="42"/>
      <c r="Z1104" s="42"/>
    </row>
    <row r="1105" ht="57.0" customHeight="1">
      <c r="A1105" s="57" t="s">
        <v>3272</v>
      </c>
      <c r="B1105" s="57" t="s">
        <v>204</v>
      </c>
      <c r="C1105" s="57" t="s">
        <v>3289</v>
      </c>
      <c r="D1105" s="57" t="s">
        <v>3290</v>
      </c>
      <c r="E1105" s="57"/>
      <c r="F1105" s="58">
        <v>28200.0</v>
      </c>
      <c r="G1105" s="57" t="s">
        <v>251</v>
      </c>
      <c r="H1105" s="59" t="s">
        <v>952</v>
      </c>
      <c r="I1105" s="59" t="s">
        <v>953</v>
      </c>
      <c r="J1105" s="61"/>
      <c r="K1105" s="61"/>
      <c r="L1105" s="42"/>
      <c r="M1105" s="42"/>
      <c r="N1105" s="42"/>
      <c r="O1105" s="42"/>
      <c r="P1105" s="42"/>
      <c r="Q1105" s="42"/>
      <c r="R1105" s="42"/>
      <c r="S1105" s="42"/>
      <c r="T1105" s="42"/>
      <c r="U1105" s="42"/>
      <c r="V1105" s="42"/>
      <c r="W1105" s="42"/>
      <c r="X1105" s="42"/>
      <c r="Y1105" s="42"/>
      <c r="Z1105" s="42"/>
    </row>
    <row r="1106" ht="57.0" customHeight="1">
      <c r="A1106" s="57" t="s">
        <v>3272</v>
      </c>
      <c r="B1106" s="57" t="s">
        <v>204</v>
      </c>
      <c r="C1106" s="57" t="s">
        <v>3291</v>
      </c>
      <c r="D1106" s="57" t="s">
        <v>3292</v>
      </c>
      <c r="E1106" s="57"/>
      <c r="F1106" s="58">
        <v>43100.0</v>
      </c>
      <c r="G1106" s="57" t="s">
        <v>251</v>
      </c>
      <c r="H1106" s="59" t="s">
        <v>952</v>
      </c>
      <c r="I1106" s="59" t="s">
        <v>953</v>
      </c>
      <c r="J1106" s="61"/>
      <c r="K1106" s="61"/>
      <c r="L1106" s="42"/>
      <c r="M1106" s="42"/>
      <c r="N1106" s="42"/>
      <c r="O1106" s="42"/>
      <c r="P1106" s="42"/>
      <c r="Q1106" s="42"/>
      <c r="R1106" s="42"/>
      <c r="S1106" s="42"/>
      <c r="T1106" s="42"/>
      <c r="U1106" s="42"/>
      <c r="V1106" s="42"/>
      <c r="W1106" s="42"/>
      <c r="X1106" s="42"/>
      <c r="Y1106" s="42"/>
      <c r="Z1106" s="42"/>
    </row>
    <row r="1107" ht="57.0" customHeight="1">
      <c r="A1107" s="57" t="s">
        <v>3272</v>
      </c>
      <c r="B1107" s="57" t="s">
        <v>204</v>
      </c>
      <c r="C1107" s="57" t="s">
        <v>3293</v>
      </c>
      <c r="D1107" s="57" t="s">
        <v>3294</v>
      </c>
      <c r="E1107" s="57"/>
      <c r="F1107" s="58">
        <v>48600.0</v>
      </c>
      <c r="G1107" s="57" t="s">
        <v>251</v>
      </c>
      <c r="H1107" s="59" t="s">
        <v>952</v>
      </c>
      <c r="I1107" s="59" t="s">
        <v>953</v>
      </c>
      <c r="J1107" s="61"/>
      <c r="K1107" s="61"/>
      <c r="L1107" s="42"/>
      <c r="M1107" s="42"/>
      <c r="N1107" s="42"/>
      <c r="O1107" s="42"/>
      <c r="P1107" s="42"/>
      <c r="Q1107" s="42"/>
      <c r="R1107" s="42"/>
      <c r="S1107" s="42"/>
      <c r="T1107" s="42"/>
      <c r="U1107" s="42"/>
      <c r="V1107" s="42"/>
      <c r="W1107" s="42"/>
      <c r="X1107" s="42"/>
      <c r="Y1107" s="42"/>
      <c r="Z1107" s="42"/>
    </row>
    <row r="1108" ht="57.0" customHeight="1">
      <c r="A1108" s="57" t="s">
        <v>3272</v>
      </c>
      <c r="B1108" s="57" t="s">
        <v>204</v>
      </c>
      <c r="C1108" s="57" t="s">
        <v>3295</v>
      </c>
      <c r="D1108" s="57" t="s">
        <v>3296</v>
      </c>
      <c r="E1108" s="57"/>
      <c r="F1108" s="58">
        <v>14400.0</v>
      </c>
      <c r="G1108" s="57" t="s">
        <v>251</v>
      </c>
      <c r="H1108" s="59" t="s">
        <v>952</v>
      </c>
      <c r="I1108" s="59" t="s">
        <v>953</v>
      </c>
      <c r="J1108" s="61"/>
      <c r="K1108" s="61"/>
      <c r="L1108" s="42"/>
      <c r="M1108" s="42"/>
      <c r="N1108" s="42"/>
      <c r="O1108" s="42"/>
      <c r="P1108" s="42"/>
      <c r="Q1108" s="42"/>
      <c r="R1108" s="42"/>
      <c r="S1108" s="42"/>
      <c r="T1108" s="42"/>
      <c r="U1108" s="42"/>
      <c r="V1108" s="42"/>
      <c r="W1108" s="42"/>
      <c r="X1108" s="42"/>
      <c r="Y1108" s="42"/>
      <c r="Z1108" s="42"/>
    </row>
    <row r="1109" ht="57.0" customHeight="1">
      <c r="A1109" s="57" t="s">
        <v>3272</v>
      </c>
      <c r="B1109" s="57" t="s">
        <v>204</v>
      </c>
      <c r="C1109" s="57" t="s">
        <v>3297</v>
      </c>
      <c r="D1109" s="57" t="s">
        <v>3298</v>
      </c>
      <c r="E1109" s="57"/>
      <c r="F1109" s="58">
        <v>18300.0</v>
      </c>
      <c r="G1109" s="57" t="s">
        <v>251</v>
      </c>
      <c r="H1109" s="59" t="s">
        <v>952</v>
      </c>
      <c r="I1109" s="59" t="s">
        <v>953</v>
      </c>
      <c r="J1109" s="61"/>
      <c r="K1109" s="61"/>
      <c r="L1109" s="42"/>
      <c r="M1109" s="42"/>
      <c r="N1109" s="42"/>
      <c r="O1109" s="42"/>
      <c r="P1109" s="42"/>
      <c r="Q1109" s="42"/>
      <c r="R1109" s="42"/>
      <c r="S1109" s="42"/>
      <c r="T1109" s="42"/>
      <c r="U1109" s="42"/>
      <c r="V1109" s="42"/>
      <c r="W1109" s="42"/>
      <c r="X1109" s="42"/>
      <c r="Y1109" s="42"/>
      <c r="Z1109" s="42"/>
    </row>
    <row r="1110" ht="57.0" customHeight="1">
      <c r="A1110" s="57" t="s">
        <v>3272</v>
      </c>
      <c r="B1110" s="57" t="s">
        <v>204</v>
      </c>
      <c r="C1110" s="57" t="s">
        <v>3299</v>
      </c>
      <c r="D1110" s="57" t="s">
        <v>3300</v>
      </c>
      <c r="E1110" s="57"/>
      <c r="F1110" s="58">
        <v>22700.0</v>
      </c>
      <c r="G1110" s="57" t="s">
        <v>251</v>
      </c>
      <c r="H1110" s="59" t="s">
        <v>952</v>
      </c>
      <c r="I1110" s="59" t="s">
        <v>953</v>
      </c>
      <c r="J1110" s="61"/>
      <c r="K1110" s="61"/>
      <c r="L1110" s="42"/>
      <c r="M1110" s="42"/>
      <c r="N1110" s="42"/>
      <c r="O1110" s="42"/>
      <c r="P1110" s="42"/>
      <c r="Q1110" s="42"/>
      <c r="R1110" s="42"/>
      <c r="S1110" s="42"/>
      <c r="T1110" s="42"/>
      <c r="U1110" s="42"/>
      <c r="V1110" s="42"/>
      <c r="W1110" s="42"/>
      <c r="X1110" s="42"/>
      <c r="Y1110" s="42"/>
      <c r="Z1110" s="42"/>
    </row>
    <row r="1111" ht="57.0" customHeight="1">
      <c r="A1111" s="57" t="s">
        <v>3272</v>
      </c>
      <c r="B1111" s="57" t="s">
        <v>204</v>
      </c>
      <c r="C1111" s="57" t="s">
        <v>3301</v>
      </c>
      <c r="D1111" s="57" t="s">
        <v>3302</v>
      </c>
      <c r="E1111" s="57"/>
      <c r="F1111" s="58">
        <v>28200.0</v>
      </c>
      <c r="G1111" s="57" t="s">
        <v>251</v>
      </c>
      <c r="H1111" s="59" t="s">
        <v>952</v>
      </c>
      <c r="I1111" s="59" t="s">
        <v>953</v>
      </c>
      <c r="J1111" s="61"/>
      <c r="K1111" s="61"/>
      <c r="L1111" s="42"/>
      <c r="M1111" s="42"/>
      <c r="N1111" s="42"/>
      <c r="O1111" s="42"/>
      <c r="P1111" s="42"/>
      <c r="Q1111" s="42"/>
      <c r="R1111" s="42"/>
      <c r="S1111" s="42"/>
      <c r="T1111" s="42"/>
      <c r="U1111" s="42"/>
      <c r="V1111" s="42"/>
      <c r="W1111" s="42"/>
      <c r="X1111" s="42"/>
      <c r="Y1111" s="42"/>
      <c r="Z1111" s="42"/>
    </row>
    <row r="1112" ht="57.0" customHeight="1">
      <c r="A1112" s="57" t="s">
        <v>3272</v>
      </c>
      <c r="B1112" s="57" t="s">
        <v>204</v>
      </c>
      <c r="C1112" s="57" t="s">
        <v>3303</v>
      </c>
      <c r="D1112" s="57" t="s">
        <v>3304</v>
      </c>
      <c r="E1112" s="57"/>
      <c r="F1112" s="58">
        <v>44700.0</v>
      </c>
      <c r="G1112" s="57" t="s">
        <v>251</v>
      </c>
      <c r="H1112" s="59" t="s">
        <v>952</v>
      </c>
      <c r="I1112" s="59" t="s">
        <v>953</v>
      </c>
      <c r="J1112" s="61"/>
      <c r="K1112" s="61"/>
      <c r="L1112" s="42"/>
      <c r="M1112" s="42"/>
      <c r="N1112" s="42"/>
      <c r="O1112" s="42"/>
      <c r="P1112" s="42"/>
      <c r="Q1112" s="42"/>
      <c r="R1112" s="42"/>
      <c r="S1112" s="42"/>
      <c r="T1112" s="42"/>
      <c r="U1112" s="42"/>
      <c r="V1112" s="42"/>
      <c r="W1112" s="42"/>
      <c r="X1112" s="42"/>
      <c r="Y1112" s="42"/>
      <c r="Z1112" s="42"/>
    </row>
    <row r="1113" ht="30.75" customHeight="1">
      <c r="A1113" s="52" t="s">
        <v>3305</v>
      </c>
      <c r="B1113" s="52" t="s">
        <v>208</v>
      </c>
      <c r="C1113" s="52" t="s">
        <v>209</v>
      </c>
      <c r="D1113" s="52" t="s">
        <v>210</v>
      </c>
      <c r="E1113" s="52"/>
      <c r="F1113" s="62"/>
      <c r="G1113" s="52"/>
      <c r="H1113" s="63"/>
      <c r="I1113" s="63"/>
      <c r="J1113" s="54"/>
      <c r="K1113" s="54"/>
      <c r="L1113" s="56"/>
      <c r="M1113" s="56"/>
      <c r="N1113" s="56"/>
      <c r="O1113" s="56"/>
      <c r="P1113" s="56"/>
      <c r="Q1113" s="56"/>
      <c r="R1113" s="56"/>
      <c r="S1113" s="56"/>
      <c r="T1113" s="56"/>
      <c r="U1113" s="56"/>
      <c r="V1113" s="56"/>
      <c r="W1113" s="56"/>
      <c r="X1113" s="56"/>
      <c r="Y1113" s="56"/>
      <c r="Z1113" s="56"/>
    </row>
    <row r="1114" ht="57.0" customHeight="1">
      <c r="A1114" s="57" t="s">
        <v>3305</v>
      </c>
      <c r="B1114" s="57" t="s">
        <v>208</v>
      </c>
      <c r="C1114" s="57" t="s">
        <v>3306</v>
      </c>
      <c r="D1114" s="57" t="s">
        <v>3307</v>
      </c>
      <c r="E1114" s="57"/>
      <c r="F1114" s="58">
        <v>6500.0</v>
      </c>
      <c r="G1114" s="57" t="s">
        <v>664</v>
      </c>
      <c r="H1114" s="59" t="s">
        <v>952</v>
      </c>
      <c r="I1114" s="59" t="s">
        <v>953</v>
      </c>
      <c r="J1114" s="61"/>
      <c r="K1114" s="61"/>
      <c r="L1114" s="42"/>
      <c r="M1114" s="42"/>
      <c r="N1114" s="42"/>
      <c r="O1114" s="42"/>
      <c r="P1114" s="42"/>
      <c r="Q1114" s="42"/>
      <c r="R1114" s="42"/>
      <c r="S1114" s="42"/>
      <c r="T1114" s="42"/>
      <c r="U1114" s="42"/>
      <c r="V1114" s="42"/>
      <c r="W1114" s="42"/>
      <c r="X1114" s="42"/>
      <c r="Y1114" s="42"/>
      <c r="Z1114" s="42"/>
    </row>
    <row r="1115" ht="57.0" customHeight="1">
      <c r="A1115" s="57" t="s">
        <v>3305</v>
      </c>
      <c r="B1115" s="57" t="s">
        <v>208</v>
      </c>
      <c r="C1115" s="57" t="s">
        <v>3308</v>
      </c>
      <c r="D1115" s="57" t="s">
        <v>3309</v>
      </c>
      <c r="E1115" s="57"/>
      <c r="F1115" s="58">
        <v>8500.0</v>
      </c>
      <c r="G1115" s="57" t="s">
        <v>664</v>
      </c>
      <c r="H1115" s="59" t="s">
        <v>952</v>
      </c>
      <c r="I1115" s="59" t="s">
        <v>953</v>
      </c>
      <c r="J1115" s="61"/>
      <c r="K1115" s="61"/>
      <c r="L1115" s="42"/>
      <c r="M1115" s="42"/>
      <c r="N1115" s="42"/>
      <c r="O1115" s="42"/>
      <c r="P1115" s="42"/>
      <c r="Q1115" s="42"/>
      <c r="R1115" s="42"/>
      <c r="S1115" s="42"/>
      <c r="T1115" s="42"/>
      <c r="U1115" s="42"/>
      <c r="V1115" s="42"/>
      <c r="W1115" s="42"/>
      <c r="X1115" s="42"/>
      <c r="Y1115" s="42"/>
      <c r="Z1115" s="42"/>
    </row>
    <row r="1116" ht="57.0" customHeight="1">
      <c r="A1116" s="57" t="s">
        <v>3305</v>
      </c>
      <c r="B1116" s="57" t="s">
        <v>208</v>
      </c>
      <c r="C1116" s="57" t="s">
        <v>3310</v>
      </c>
      <c r="D1116" s="57" t="s">
        <v>3311</v>
      </c>
      <c r="E1116" s="57"/>
      <c r="F1116" s="58">
        <v>13000.0</v>
      </c>
      <c r="G1116" s="57" t="s">
        <v>664</v>
      </c>
      <c r="H1116" s="59" t="s">
        <v>952</v>
      </c>
      <c r="I1116" s="59" t="s">
        <v>953</v>
      </c>
      <c r="J1116" s="61"/>
      <c r="K1116" s="61"/>
      <c r="L1116" s="42"/>
      <c r="M1116" s="42"/>
      <c r="N1116" s="42"/>
      <c r="O1116" s="42"/>
      <c r="P1116" s="42"/>
      <c r="Q1116" s="42"/>
      <c r="R1116" s="42"/>
      <c r="S1116" s="42"/>
      <c r="T1116" s="42"/>
      <c r="U1116" s="42"/>
      <c r="V1116" s="42"/>
      <c r="W1116" s="42"/>
      <c r="X1116" s="42"/>
      <c r="Y1116" s="42"/>
      <c r="Z1116" s="42"/>
    </row>
    <row r="1117" ht="57.0" customHeight="1">
      <c r="A1117" s="57" t="s">
        <v>3305</v>
      </c>
      <c r="B1117" s="57" t="s">
        <v>208</v>
      </c>
      <c r="C1117" s="57" t="s">
        <v>3312</v>
      </c>
      <c r="D1117" s="57" t="s">
        <v>3313</v>
      </c>
      <c r="E1117" s="57"/>
      <c r="F1117" s="58">
        <v>18500.0</v>
      </c>
      <c r="G1117" s="57" t="s">
        <v>664</v>
      </c>
      <c r="H1117" s="59" t="s">
        <v>952</v>
      </c>
      <c r="I1117" s="59" t="s">
        <v>953</v>
      </c>
      <c r="J1117" s="61"/>
      <c r="K1117" s="61"/>
      <c r="L1117" s="42"/>
      <c r="M1117" s="42"/>
      <c r="N1117" s="42"/>
      <c r="O1117" s="42"/>
      <c r="P1117" s="42"/>
      <c r="Q1117" s="42"/>
      <c r="R1117" s="42"/>
      <c r="S1117" s="42"/>
      <c r="T1117" s="42"/>
      <c r="U1117" s="42"/>
      <c r="V1117" s="42"/>
      <c r="W1117" s="42"/>
      <c r="X1117" s="42"/>
      <c r="Y1117" s="42"/>
      <c r="Z1117" s="42"/>
    </row>
    <row r="1118" ht="57.0" customHeight="1">
      <c r="A1118" s="57" t="s">
        <v>3305</v>
      </c>
      <c r="B1118" s="57" t="s">
        <v>208</v>
      </c>
      <c r="C1118" s="57" t="s">
        <v>3314</v>
      </c>
      <c r="D1118" s="57" t="s">
        <v>3315</v>
      </c>
      <c r="E1118" s="57"/>
      <c r="F1118" s="58">
        <v>24000.0</v>
      </c>
      <c r="G1118" s="57" t="s">
        <v>664</v>
      </c>
      <c r="H1118" s="59" t="s">
        <v>952</v>
      </c>
      <c r="I1118" s="59" t="s">
        <v>953</v>
      </c>
      <c r="J1118" s="61"/>
      <c r="K1118" s="61"/>
      <c r="L1118" s="42"/>
      <c r="M1118" s="42"/>
      <c r="N1118" s="42"/>
      <c r="O1118" s="42"/>
      <c r="P1118" s="42"/>
      <c r="Q1118" s="42"/>
      <c r="R1118" s="42"/>
      <c r="S1118" s="42"/>
      <c r="T1118" s="42"/>
      <c r="U1118" s="42"/>
      <c r="V1118" s="42"/>
      <c r="W1118" s="42"/>
      <c r="X1118" s="42"/>
      <c r="Y1118" s="42"/>
      <c r="Z1118" s="42"/>
    </row>
    <row r="1119" ht="57.0" customHeight="1">
      <c r="A1119" s="57" t="s">
        <v>3305</v>
      </c>
      <c r="B1119" s="57" t="s">
        <v>208</v>
      </c>
      <c r="C1119" s="57" t="s">
        <v>3316</v>
      </c>
      <c r="D1119" s="57" t="s">
        <v>3317</v>
      </c>
      <c r="E1119" s="57"/>
      <c r="F1119" s="58">
        <v>37000.0</v>
      </c>
      <c r="G1119" s="57" t="s">
        <v>664</v>
      </c>
      <c r="H1119" s="59" t="s">
        <v>952</v>
      </c>
      <c r="I1119" s="59" t="s">
        <v>953</v>
      </c>
      <c r="J1119" s="61"/>
      <c r="K1119" s="61"/>
      <c r="L1119" s="42"/>
      <c r="M1119" s="42"/>
      <c r="N1119" s="42"/>
      <c r="O1119" s="42"/>
      <c r="P1119" s="42"/>
      <c r="Q1119" s="42"/>
      <c r="R1119" s="42"/>
      <c r="S1119" s="42"/>
      <c r="T1119" s="42"/>
      <c r="U1119" s="42"/>
      <c r="V1119" s="42"/>
      <c r="W1119" s="42"/>
      <c r="X1119" s="42"/>
      <c r="Y1119" s="42"/>
      <c r="Z1119" s="42"/>
    </row>
    <row r="1120" ht="57.0" customHeight="1">
      <c r="A1120" s="57" t="s">
        <v>3305</v>
      </c>
      <c r="B1120" s="57" t="s">
        <v>208</v>
      </c>
      <c r="C1120" s="57" t="s">
        <v>3318</v>
      </c>
      <c r="D1120" s="57" t="s">
        <v>3319</v>
      </c>
      <c r="E1120" s="57"/>
      <c r="F1120" s="58">
        <v>49000.0</v>
      </c>
      <c r="G1120" s="57" t="s">
        <v>664</v>
      </c>
      <c r="H1120" s="59" t="s">
        <v>952</v>
      </c>
      <c r="I1120" s="59" t="s">
        <v>953</v>
      </c>
      <c r="J1120" s="61"/>
      <c r="K1120" s="61"/>
      <c r="L1120" s="42"/>
      <c r="M1120" s="42"/>
      <c r="N1120" s="42"/>
      <c r="O1120" s="42"/>
      <c r="P1120" s="42"/>
      <c r="Q1120" s="42"/>
      <c r="R1120" s="42"/>
      <c r="S1120" s="42"/>
      <c r="T1120" s="42"/>
      <c r="U1120" s="42"/>
      <c r="V1120" s="42"/>
      <c r="W1120" s="42"/>
      <c r="X1120" s="42"/>
      <c r="Y1120" s="42"/>
      <c r="Z1120" s="42"/>
    </row>
    <row r="1121" ht="57.0" customHeight="1">
      <c r="A1121" s="57" t="s">
        <v>3305</v>
      </c>
      <c r="B1121" s="57" t="s">
        <v>208</v>
      </c>
      <c r="C1121" s="57" t="s">
        <v>3320</v>
      </c>
      <c r="D1121" s="57" t="s">
        <v>3321</v>
      </c>
      <c r="E1121" s="57"/>
      <c r="F1121" s="58">
        <v>60100.0</v>
      </c>
      <c r="G1121" s="57" t="s">
        <v>664</v>
      </c>
      <c r="H1121" s="59" t="s">
        <v>952</v>
      </c>
      <c r="I1121" s="59" t="s">
        <v>953</v>
      </c>
      <c r="J1121" s="61"/>
      <c r="K1121" s="61"/>
      <c r="L1121" s="42"/>
      <c r="M1121" s="42"/>
      <c r="N1121" s="42"/>
      <c r="O1121" s="42"/>
      <c r="P1121" s="42"/>
      <c r="Q1121" s="42"/>
      <c r="R1121" s="42"/>
      <c r="S1121" s="42"/>
      <c r="T1121" s="42"/>
      <c r="U1121" s="42"/>
      <c r="V1121" s="42"/>
      <c r="W1121" s="42"/>
      <c r="X1121" s="42"/>
      <c r="Y1121" s="42"/>
      <c r="Z1121" s="42"/>
    </row>
    <row r="1122" ht="57.0" customHeight="1">
      <c r="A1122" s="57" t="s">
        <v>3305</v>
      </c>
      <c r="B1122" s="57" t="s">
        <v>208</v>
      </c>
      <c r="C1122" s="57" t="s">
        <v>3322</v>
      </c>
      <c r="D1122" s="57" t="s">
        <v>3323</v>
      </c>
      <c r="E1122" s="57"/>
      <c r="F1122" s="58">
        <v>13700.0</v>
      </c>
      <c r="G1122" s="57" t="s">
        <v>251</v>
      </c>
      <c r="H1122" s="59" t="s">
        <v>952</v>
      </c>
      <c r="I1122" s="59" t="s">
        <v>953</v>
      </c>
      <c r="J1122" s="61"/>
      <c r="K1122" s="61"/>
      <c r="L1122" s="42"/>
      <c r="M1122" s="42"/>
      <c r="N1122" s="42"/>
      <c r="O1122" s="42"/>
      <c r="P1122" s="42"/>
      <c r="Q1122" s="42"/>
      <c r="R1122" s="42"/>
      <c r="S1122" s="42"/>
      <c r="T1122" s="42"/>
      <c r="U1122" s="42"/>
      <c r="V1122" s="42"/>
      <c r="W1122" s="42"/>
      <c r="X1122" s="42"/>
      <c r="Y1122" s="42"/>
      <c r="Z1122" s="42"/>
    </row>
    <row r="1123" ht="57.0" customHeight="1">
      <c r="A1123" s="57" t="s">
        <v>3305</v>
      </c>
      <c r="B1123" s="57" t="s">
        <v>208</v>
      </c>
      <c r="C1123" s="57" t="s">
        <v>3324</v>
      </c>
      <c r="D1123" s="57" t="s">
        <v>3325</v>
      </c>
      <c r="E1123" s="57"/>
      <c r="F1123" s="58">
        <v>15600.0</v>
      </c>
      <c r="G1123" s="57" t="s">
        <v>251</v>
      </c>
      <c r="H1123" s="59" t="s">
        <v>952</v>
      </c>
      <c r="I1123" s="59" t="s">
        <v>953</v>
      </c>
      <c r="J1123" s="61"/>
      <c r="K1123" s="61"/>
      <c r="L1123" s="42"/>
      <c r="M1123" s="42"/>
      <c r="N1123" s="42"/>
      <c r="O1123" s="42"/>
      <c r="P1123" s="42"/>
      <c r="Q1123" s="42"/>
      <c r="R1123" s="42"/>
      <c r="S1123" s="42"/>
      <c r="T1123" s="42"/>
      <c r="U1123" s="42"/>
      <c r="V1123" s="42"/>
      <c r="W1123" s="42"/>
      <c r="X1123" s="42"/>
      <c r="Y1123" s="42"/>
      <c r="Z1123" s="42"/>
    </row>
    <row r="1124" ht="57.0" customHeight="1">
      <c r="A1124" s="57" t="s">
        <v>3305</v>
      </c>
      <c r="B1124" s="57" t="s">
        <v>208</v>
      </c>
      <c r="C1124" s="57" t="s">
        <v>3326</v>
      </c>
      <c r="D1124" s="57" t="s">
        <v>3327</v>
      </c>
      <c r="E1124" s="57"/>
      <c r="F1124" s="58">
        <v>23000.0</v>
      </c>
      <c r="G1124" s="57" t="s">
        <v>251</v>
      </c>
      <c r="H1124" s="59" t="s">
        <v>952</v>
      </c>
      <c r="I1124" s="59" t="s">
        <v>953</v>
      </c>
      <c r="J1124" s="61"/>
      <c r="K1124" s="61"/>
      <c r="L1124" s="42"/>
      <c r="M1124" s="42"/>
      <c r="N1124" s="42"/>
      <c r="O1124" s="42"/>
      <c r="P1124" s="42"/>
      <c r="Q1124" s="42"/>
      <c r="R1124" s="42"/>
      <c r="S1124" s="42"/>
      <c r="T1124" s="42"/>
      <c r="U1124" s="42"/>
      <c r="V1124" s="42"/>
      <c r="W1124" s="42"/>
      <c r="X1124" s="42"/>
      <c r="Y1124" s="42"/>
      <c r="Z1124" s="42"/>
    </row>
    <row r="1125" ht="57.0" customHeight="1">
      <c r="A1125" s="57" t="s">
        <v>3305</v>
      </c>
      <c r="B1125" s="57" t="s">
        <v>208</v>
      </c>
      <c r="C1125" s="57" t="s">
        <v>3328</v>
      </c>
      <c r="D1125" s="57" t="s">
        <v>3329</v>
      </c>
      <c r="E1125" s="57"/>
      <c r="F1125" s="58">
        <v>9500.0</v>
      </c>
      <c r="G1125" s="57" t="s">
        <v>251</v>
      </c>
      <c r="H1125" s="59" t="s">
        <v>952</v>
      </c>
      <c r="I1125" s="59" t="s">
        <v>953</v>
      </c>
      <c r="J1125" s="61"/>
      <c r="K1125" s="61"/>
      <c r="L1125" s="42"/>
      <c r="M1125" s="42"/>
      <c r="N1125" s="42"/>
      <c r="O1125" s="42"/>
      <c r="P1125" s="42"/>
      <c r="Q1125" s="42"/>
      <c r="R1125" s="42"/>
      <c r="S1125" s="42"/>
      <c r="T1125" s="42"/>
      <c r="U1125" s="42"/>
      <c r="V1125" s="42"/>
      <c r="W1125" s="42"/>
      <c r="X1125" s="42"/>
      <c r="Y1125" s="42"/>
      <c r="Z1125" s="42"/>
    </row>
    <row r="1126" ht="57.0" customHeight="1">
      <c r="A1126" s="57" t="s">
        <v>3305</v>
      </c>
      <c r="B1126" s="57" t="s">
        <v>208</v>
      </c>
      <c r="C1126" s="57" t="s">
        <v>3330</v>
      </c>
      <c r="D1126" s="57" t="s">
        <v>3331</v>
      </c>
      <c r="E1126" s="57"/>
      <c r="F1126" s="58">
        <v>10600.0</v>
      </c>
      <c r="G1126" s="57" t="s">
        <v>251</v>
      </c>
      <c r="H1126" s="59" t="s">
        <v>952</v>
      </c>
      <c r="I1126" s="59" t="s">
        <v>953</v>
      </c>
      <c r="J1126" s="61"/>
      <c r="K1126" s="61"/>
      <c r="L1126" s="42"/>
      <c r="M1126" s="42"/>
      <c r="N1126" s="42"/>
      <c r="O1126" s="42"/>
      <c r="P1126" s="42"/>
      <c r="Q1126" s="42"/>
      <c r="R1126" s="42"/>
      <c r="S1126" s="42"/>
      <c r="T1126" s="42"/>
      <c r="U1126" s="42"/>
      <c r="V1126" s="42"/>
      <c r="W1126" s="42"/>
      <c r="X1126" s="42"/>
      <c r="Y1126" s="42"/>
      <c r="Z1126" s="42"/>
    </row>
    <row r="1127" ht="57.0" customHeight="1">
      <c r="A1127" s="57" t="s">
        <v>3305</v>
      </c>
      <c r="B1127" s="57" t="s">
        <v>208</v>
      </c>
      <c r="C1127" s="57" t="s">
        <v>3332</v>
      </c>
      <c r="D1127" s="57" t="s">
        <v>3333</v>
      </c>
      <c r="E1127" s="57"/>
      <c r="F1127" s="58">
        <v>13800.0</v>
      </c>
      <c r="G1127" s="57" t="s">
        <v>251</v>
      </c>
      <c r="H1127" s="59" t="s">
        <v>952</v>
      </c>
      <c r="I1127" s="59" t="s">
        <v>953</v>
      </c>
      <c r="J1127" s="61"/>
      <c r="K1127" s="61"/>
      <c r="L1127" s="42"/>
      <c r="M1127" s="42"/>
      <c r="N1127" s="42"/>
      <c r="O1127" s="42"/>
      <c r="P1127" s="42"/>
      <c r="Q1127" s="42"/>
      <c r="R1127" s="42"/>
      <c r="S1127" s="42"/>
      <c r="T1127" s="42"/>
      <c r="U1127" s="42"/>
      <c r="V1127" s="42"/>
      <c r="W1127" s="42"/>
      <c r="X1127" s="42"/>
      <c r="Y1127" s="42"/>
      <c r="Z1127" s="42"/>
    </row>
    <row r="1128" ht="57.0" customHeight="1">
      <c r="A1128" s="57" t="s">
        <v>3305</v>
      </c>
      <c r="B1128" s="57" t="s">
        <v>208</v>
      </c>
      <c r="C1128" s="57" t="s">
        <v>3334</v>
      </c>
      <c r="D1128" s="57" t="s">
        <v>3335</v>
      </c>
      <c r="E1128" s="57"/>
      <c r="F1128" s="58">
        <v>12000.0</v>
      </c>
      <c r="G1128" s="57" t="s">
        <v>251</v>
      </c>
      <c r="H1128" s="59" t="s">
        <v>952</v>
      </c>
      <c r="I1128" s="59" t="s">
        <v>953</v>
      </c>
      <c r="J1128" s="61"/>
      <c r="K1128" s="61"/>
      <c r="L1128" s="42"/>
      <c r="M1128" s="42"/>
      <c r="N1128" s="42"/>
      <c r="O1128" s="42"/>
      <c r="P1128" s="42"/>
      <c r="Q1128" s="42"/>
      <c r="R1128" s="42"/>
      <c r="S1128" s="42"/>
      <c r="T1128" s="42"/>
      <c r="U1128" s="42"/>
      <c r="V1128" s="42"/>
      <c r="W1128" s="42"/>
      <c r="X1128" s="42"/>
      <c r="Y1128" s="42"/>
      <c r="Z1128" s="42"/>
    </row>
    <row r="1129" ht="57.0" customHeight="1">
      <c r="A1129" s="57" t="s">
        <v>3305</v>
      </c>
      <c r="B1129" s="57" t="s">
        <v>208</v>
      </c>
      <c r="C1129" s="57" t="s">
        <v>3336</v>
      </c>
      <c r="D1129" s="57" t="s">
        <v>3337</v>
      </c>
      <c r="E1129" s="57"/>
      <c r="F1129" s="58">
        <v>170000.0</v>
      </c>
      <c r="G1129" s="57" t="s">
        <v>251</v>
      </c>
      <c r="H1129" s="59" t="s">
        <v>952</v>
      </c>
      <c r="I1129" s="59" t="s">
        <v>953</v>
      </c>
      <c r="J1129" s="61"/>
      <c r="K1129" s="61"/>
      <c r="L1129" s="42"/>
      <c r="M1129" s="42"/>
      <c r="N1129" s="42"/>
      <c r="O1129" s="42"/>
      <c r="P1129" s="42"/>
      <c r="Q1129" s="42"/>
      <c r="R1129" s="42"/>
      <c r="S1129" s="42"/>
      <c r="T1129" s="42"/>
      <c r="U1129" s="42"/>
      <c r="V1129" s="42"/>
      <c r="W1129" s="42"/>
      <c r="X1129" s="42"/>
      <c r="Y1129" s="42"/>
      <c r="Z1129" s="42"/>
    </row>
    <row r="1130" ht="57.0" customHeight="1">
      <c r="A1130" s="57" t="s">
        <v>3305</v>
      </c>
      <c r="B1130" s="57" t="s">
        <v>208</v>
      </c>
      <c r="C1130" s="57" t="s">
        <v>3338</v>
      </c>
      <c r="D1130" s="57" t="s">
        <v>3339</v>
      </c>
      <c r="E1130" s="57"/>
      <c r="F1130" s="58">
        <v>11000.0</v>
      </c>
      <c r="G1130" s="57" t="s">
        <v>251</v>
      </c>
      <c r="H1130" s="59" t="s">
        <v>952</v>
      </c>
      <c r="I1130" s="59" t="s">
        <v>953</v>
      </c>
      <c r="J1130" s="61"/>
      <c r="K1130" s="61"/>
      <c r="L1130" s="42"/>
      <c r="M1130" s="42"/>
      <c r="N1130" s="42"/>
      <c r="O1130" s="42"/>
      <c r="P1130" s="42"/>
      <c r="Q1130" s="42"/>
      <c r="R1130" s="42"/>
      <c r="S1130" s="42"/>
      <c r="T1130" s="42"/>
      <c r="U1130" s="42"/>
      <c r="V1130" s="42"/>
      <c r="W1130" s="42"/>
      <c r="X1130" s="42"/>
      <c r="Y1130" s="42"/>
      <c r="Z1130" s="42"/>
    </row>
    <row r="1131" ht="57.0" customHeight="1">
      <c r="A1131" s="57" t="s">
        <v>3305</v>
      </c>
      <c r="B1131" s="57" t="s">
        <v>208</v>
      </c>
      <c r="C1131" s="57" t="s">
        <v>3340</v>
      </c>
      <c r="D1131" s="57" t="s">
        <v>3341</v>
      </c>
      <c r="E1131" s="57"/>
      <c r="F1131" s="58">
        <v>17400.0</v>
      </c>
      <c r="G1131" s="57" t="s">
        <v>251</v>
      </c>
      <c r="H1131" s="59" t="s">
        <v>952</v>
      </c>
      <c r="I1131" s="59" t="s">
        <v>953</v>
      </c>
      <c r="J1131" s="61"/>
      <c r="K1131" s="61"/>
      <c r="L1131" s="42"/>
      <c r="M1131" s="42"/>
      <c r="N1131" s="42"/>
      <c r="O1131" s="42"/>
      <c r="P1131" s="42"/>
      <c r="Q1131" s="42"/>
      <c r="R1131" s="42"/>
      <c r="S1131" s="42"/>
      <c r="T1131" s="42"/>
      <c r="U1131" s="42"/>
      <c r="V1131" s="42"/>
      <c r="W1131" s="42"/>
      <c r="X1131" s="42"/>
      <c r="Y1131" s="42"/>
      <c r="Z1131" s="42"/>
    </row>
    <row r="1132" ht="57.0" customHeight="1">
      <c r="A1132" s="57" t="s">
        <v>3305</v>
      </c>
      <c r="B1132" s="57" t="s">
        <v>208</v>
      </c>
      <c r="C1132" s="57" t="s">
        <v>3342</v>
      </c>
      <c r="D1132" s="57" t="s">
        <v>3343</v>
      </c>
      <c r="E1132" s="57"/>
      <c r="F1132" s="58">
        <v>10400.0</v>
      </c>
      <c r="G1132" s="57" t="s">
        <v>3344</v>
      </c>
      <c r="H1132" s="59" t="s">
        <v>952</v>
      </c>
      <c r="I1132" s="59" t="s">
        <v>953</v>
      </c>
      <c r="J1132" s="61"/>
      <c r="K1132" s="61"/>
      <c r="L1132" s="42"/>
      <c r="M1132" s="42"/>
      <c r="N1132" s="42"/>
      <c r="O1132" s="42"/>
      <c r="P1132" s="42"/>
      <c r="Q1132" s="42"/>
      <c r="R1132" s="42"/>
      <c r="S1132" s="42"/>
      <c r="T1132" s="42"/>
      <c r="U1132" s="42"/>
      <c r="V1132" s="42"/>
      <c r="W1132" s="42"/>
      <c r="X1132" s="42"/>
      <c r="Y1132" s="42"/>
      <c r="Z1132" s="42"/>
    </row>
    <row r="1133" ht="57.0" customHeight="1">
      <c r="A1133" s="57" t="s">
        <v>3305</v>
      </c>
      <c r="B1133" s="57" t="s">
        <v>208</v>
      </c>
      <c r="C1133" s="57" t="s">
        <v>3345</v>
      </c>
      <c r="D1133" s="57" t="s">
        <v>3346</v>
      </c>
      <c r="E1133" s="57"/>
      <c r="F1133" s="58">
        <v>6800.0</v>
      </c>
      <c r="G1133" s="57" t="s">
        <v>3344</v>
      </c>
      <c r="H1133" s="59" t="s">
        <v>952</v>
      </c>
      <c r="I1133" s="59" t="s">
        <v>953</v>
      </c>
      <c r="J1133" s="61"/>
      <c r="K1133" s="61"/>
      <c r="L1133" s="42"/>
      <c r="M1133" s="42"/>
      <c r="N1133" s="42"/>
      <c r="O1133" s="42"/>
      <c r="P1133" s="42"/>
      <c r="Q1133" s="42"/>
      <c r="R1133" s="42"/>
      <c r="S1133" s="42"/>
      <c r="T1133" s="42"/>
      <c r="U1133" s="42"/>
      <c r="V1133" s="42"/>
      <c r="W1133" s="42"/>
      <c r="X1133" s="42"/>
      <c r="Y1133" s="42"/>
      <c r="Z1133" s="42"/>
    </row>
    <row r="1134" ht="57.0" customHeight="1">
      <c r="A1134" s="57" t="s">
        <v>3305</v>
      </c>
      <c r="B1134" s="57" t="s">
        <v>208</v>
      </c>
      <c r="C1134" s="57" t="s">
        <v>3347</v>
      </c>
      <c r="D1134" s="57" t="s">
        <v>3348</v>
      </c>
      <c r="E1134" s="57"/>
      <c r="F1134" s="58">
        <v>16800.0</v>
      </c>
      <c r="G1134" s="57" t="s">
        <v>251</v>
      </c>
      <c r="H1134" s="59" t="s">
        <v>952</v>
      </c>
      <c r="I1134" s="59" t="s">
        <v>953</v>
      </c>
      <c r="J1134" s="61"/>
      <c r="K1134" s="61"/>
      <c r="L1134" s="42"/>
      <c r="M1134" s="42"/>
      <c r="N1134" s="42"/>
      <c r="O1134" s="42"/>
      <c r="P1134" s="42"/>
      <c r="Q1134" s="42"/>
      <c r="R1134" s="42"/>
      <c r="S1134" s="42"/>
      <c r="T1134" s="42"/>
      <c r="U1134" s="42"/>
      <c r="V1134" s="42"/>
      <c r="W1134" s="42"/>
      <c r="X1134" s="42"/>
      <c r="Y1134" s="42"/>
      <c r="Z1134" s="42"/>
    </row>
    <row r="1135" ht="57.0" customHeight="1">
      <c r="A1135" s="57" t="s">
        <v>3305</v>
      </c>
      <c r="B1135" s="57" t="s">
        <v>208</v>
      </c>
      <c r="C1135" s="57" t="s">
        <v>3349</v>
      </c>
      <c r="D1135" s="57" t="s">
        <v>3350</v>
      </c>
      <c r="E1135" s="57"/>
      <c r="F1135" s="58">
        <v>17000.0</v>
      </c>
      <c r="G1135" s="57" t="s">
        <v>251</v>
      </c>
      <c r="H1135" s="59" t="s">
        <v>952</v>
      </c>
      <c r="I1135" s="59" t="s">
        <v>953</v>
      </c>
      <c r="J1135" s="61"/>
      <c r="K1135" s="61"/>
      <c r="L1135" s="42"/>
      <c r="M1135" s="42"/>
      <c r="N1135" s="42"/>
      <c r="O1135" s="42"/>
      <c r="P1135" s="42"/>
      <c r="Q1135" s="42"/>
      <c r="R1135" s="42"/>
      <c r="S1135" s="42"/>
      <c r="T1135" s="42"/>
      <c r="U1135" s="42"/>
      <c r="V1135" s="42"/>
      <c r="W1135" s="42"/>
      <c r="X1135" s="42"/>
      <c r="Y1135" s="42"/>
      <c r="Z1135" s="42"/>
    </row>
    <row r="1136" ht="57.0" customHeight="1">
      <c r="A1136" s="57" t="s">
        <v>3305</v>
      </c>
      <c r="B1136" s="57" t="s">
        <v>208</v>
      </c>
      <c r="C1136" s="57" t="s">
        <v>3351</v>
      </c>
      <c r="D1136" s="57" t="s">
        <v>3352</v>
      </c>
      <c r="E1136" s="57"/>
      <c r="F1136" s="58">
        <v>268000.0</v>
      </c>
      <c r="G1136" s="57" t="s">
        <v>251</v>
      </c>
      <c r="H1136" s="59" t="s">
        <v>952</v>
      </c>
      <c r="I1136" s="59" t="s">
        <v>953</v>
      </c>
      <c r="J1136" s="61"/>
      <c r="K1136" s="61"/>
      <c r="L1136" s="42"/>
      <c r="M1136" s="42"/>
      <c r="N1136" s="42"/>
      <c r="O1136" s="42"/>
      <c r="P1136" s="42"/>
      <c r="Q1136" s="42"/>
      <c r="R1136" s="42"/>
      <c r="S1136" s="42"/>
      <c r="T1136" s="42"/>
      <c r="U1136" s="42"/>
      <c r="V1136" s="42"/>
      <c r="W1136" s="42"/>
      <c r="X1136" s="42"/>
      <c r="Y1136" s="42"/>
      <c r="Z1136" s="42"/>
    </row>
    <row r="1137" ht="57.0" customHeight="1">
      <c r="A1137" s="57" t="s">
        <v>3305</v>
      </c>
      <c r="B1137" s="57" t="s">
        <v>208</v>
      </c>
      <c r="C1137" s="57" t="s">
        <v>3353</v>
      </c>
      <c r="D1137" s="57" t="s">
        <v>3354</v>
      </c>
      <c r="E1137" s="57"/>
      <c r="F1137" s="58">
        <v>805000.0</v>
      </c>
      <c r="G1137" s="57" t="s">
        <v>251</v>
      </c>
      <c r="H1137" s="59" t="s">
        <v>952</v>
      </c>
      <c r="I1137" s="59" t="s">
        <v>953</v>
      </c>
      <c r="J1137" s="61"/>
      <c r="K1137" s="61"/>
      <c r="L1137" s="42"/>
      <c r="M1137" s="42"/>
      <c r="N1137" s="42"/>
      <c r="O1137" s="42"/>
      <c r="P1137" s="42"/>
      <c r="Q1137" s="42"/>
      <c r="R1137" s="42"/>
      <c r="S1137" s="42"/>
      <c r="T1137" s="42"/>
      <c r="U1137" s="42"/>
      <c r="V1137" s="42"/>
      <c r="W1137" s="42"/>
      <c r="X1137" s="42"/>
      <c r="Y1137" s="42"/>
      <c r="Z1137" s="42"/>
    </row>
    <row r="1138" ht="57.0" customHeight="1">
      <c r="A1138" s="57" t="s">
        <v>3305</v>
      </c>
      <c r="B1138" s="57" t="s">
        <v>208</v>
      </c>
      <c r="C1138" s="57" t="s">
        <v>3355</v>
      </c>
      <c r="D1138" s="57" t="s">
        <v>3356</v>
      </c>
      <c r="E1138" s="57"/>
      <c r="F1138" s="58">
        <v>950000.0</v>
      </c>
      <c r="G1138" s="57" t="s">
        <v>251</v>
      </c>
      <c r="H1138" s="59" t="s">
        <v>952</v>
      </c>
      <c r="I1138" s="59" t="s">
        <v>953</v>
      </c>
      <c r="J1138" s="61"/>
      <c r="K1138" s="61"/>
      <c r="L1138" s="42"/>
      <c r="M1138" s="42"/>
      <c r="N1138" s="42"/>
      <c r="O1138" s="42"/>
      <c r="P1138" s="42"/>
      <c r="Q1138" s="42"/>
      <c r="R1138" s="42"/>
      <c r="S1138" s="42"/>
      <c r="T1138" s="42"/>
      <c r="U1138" s="42"/>
      <c r="V1138" s="42"/>
      <c r="W1138" s="42"/>
      <c r="X1138" s="42"/>
      <c r="Y1138" s="42"/>
      <c r="Z1138" s="42"/>
    </row>
    <row r="1139" ht="57.0" customHeight="1">
      <c r="A1139" s="57" t="s">
        <v>3305</v>
      </c>
      <c r="B1139" s="57" t="s">
        <v>208</v>
      </c>
      <c r="C1139" s="57" t="s">
        <v>3357</v>
      </c>
      <c r="D1139" s="57" t="s">
        <v>3358</v>
      </c>
      <c r="E1139" s="57"/>
      <c r="F1139" s="58">
        <v>215000.0</v>
      </c>
      <c r="G1139" s="57" t="s">
        <v>251</v>
      </c>
      <c r="H1139" s="59" t="s">
        <v>952</v>
      </c>
      <c r="I1139" s="59" t="s">
        <v>953</v>
      </c>
      <c r="J1139" s="61"/>
      <c r="K1139" s="61"/>
      <c r="L1139" s="42"/>
      <c r="M1139" s="42"/>
      <c r="N1139" s="42"/>
      <c r="O1139" s="42"/>
      <c r="P1139" s="42"/>
      <c r="Q1139" s="42"/>
      <c r="R1139" s="42"/>
      <c r="S1139" s="42"/>
      <c r="T1139" s="42"/>
      <c r="U1139" s="42"/>
      <c r="V1139" s="42"/>
      <c r="W1139" s="42"/>
      <c r="X1139" s="42"/>
      <c r="Y1139" s="42"/>
      <c r="Z1139" s="42"/>
    </row>
    <row r="1140" ht="57.0" customHeight="1">
      <c r="A1140" s="57" t="s">
        <v>3305</v>
      </c>
      <c r="B1140" s="57" t="s">
        <v>208</v>
      </c>
      <c r="C1140" s="57" t="s">
        <v>3359</v>
      </c>
      <c r="D1140" s="57" t="s">
        <v>3360</v>
      </c>
      <c r="E1140" s="57"/>
      <c r="F1140" s="58">
        <v>272000.0</v>
      </c>
      <c r="G1140" s="57" t="s">
        <v>251</v>
      </c>
      <c r="H1140" s="59" t="s">
        <v>952</v>
      </c>
      <c r="I1140" s="59" t="s">
        <v>953</v>
      </c>
      <c r="J1140" s="61"/>
      <c r="K1140" s="61"/>
      <c r="L1140" s="42"/>
      <c r="M1140" s="42"/>
      <c r="N1140" s="42"/>
      <c r="O1140" s="42"/>
      <c r="P1140" s="42"/>
      <c r="Q1140" s="42"/>
      <c r="R1140" s="42"/>
      <c r="S1140" s="42"/>
      <c r="T1140" s="42"/>
      <c r="U1140" s="42"/>
      <c r="V1140" s="42"/>
      <c r="W1140" s="42"/>
      <c r="X1140" s="42"/>
      <c r="Y1140" s="42"/>
      <c r="Z1140" s="42"/>
    </row>
    <row r="1141" ht="57.0" customHeight="1">
      <c r="A1141" s="57" t="s">
        <v>3305</v>
      </c>
      <c r="B1141" s="57" t="s">
        <v>208</v>
      </c>
      <c r="C1141" s="57" t="s">
        <v>3361</v>
      </c>
      <c r="D1141" s="57" t="s">
        <v>3362</v>
      </c>
      <c r="E1141" s="57"/>
      <c r="F1141" s="58">
        <v>430000.0</v>
      </c>
      <c r="G1141" s="57" t="s">
        <v>251</v>
      </c>
      <c r="H1141" s="59" t="s">
        <v>952</v>
      </c>
      <c r="I1141" s="59" t="s">
        <v>953</v>
      </c>
      <c r="J1141" s="61"/>
      <c r="K1141" s="61"/>
      <c r="L1141" s="42"/>
      <c r="M1141" s="42"/>
      <c r="N1141" s="42"/>
      <c r="O1141" s="42"/>
      <c r="P1141" s="42"/>
      <c r="Q1141" s="42"/>
      <c r="R1141" s="42"/>
      <c r="S1141" s="42"/>
      <c r="T1141" s="42"/>
      <c r="U1141" s="42"/>
      <c r="V1141" s="42"/>
      <c r="W1141" s="42"/>
      <c r="X1141" s="42"/>
      <c r="Y1141" s="42"/>
      <c r="Z1141" s="42"/>
    </row>
    <row r="1142" ht="57.0" customHeight="1">
      <c r="A1142" s="57" t="s">
        <v>3305</v>
      </c>
      <c r="B1142" s="57" t="s">
        <v>208</v>
      </c>
      <c r="C1142" s="57" t="s">
        <v>3363</v>
      </c>
      <c r="D1142" s="57" t="s">
        <v>3364</v>
      </c>
      <c r="E1142" s="57" t="s">
        <v>3365</v>
      </c>
      <c r="F1142" s="58">
        <v>530000.0</v>
      </c>
      <c r="G1142" s="57" t="s">
        <v>251</v>
      </c>
      <c r="H1142" s="59" t="s">
        <v>252</v>
      </c>
      <c r="I1142" s="60" t="s">
        <v>253</v>
      </c>
      <c r="J1142" s="61"/>
      <c r="K1142" s="61"/>
      <c r="L1142" s="42"/>
      <c r="M1142" s="42"/>
      <c r="N1142" s="42"/>
      <c r="O1142" s="42"/>
      <c r="P1142" s="42"/>
      <c r="Q1142" s="42"/>
      <c r="R1142" s="42"/>
      <c r="S1142" s="42"/>
      <c r="T1142" s="42"/>
      <c r="U1142" s="42"/>
      <c r="V1142" s="42"/>
      <c r="W1142" s="42"/>
      <c r="X1142" s="42"/>
      <c r="Y1142" s="42"/>
      <c r="Z1142" s="42"/>
    </row>
    <row r="1143" ht="57.0" customHeight="1">
      <c r="A1143" s="52" t="s">
        <v>3366</v>
      </c>
      <c r="B1143" s="52" t="s">
        <v>212</v>
      </c>
      <c r="C1143" s="52" t="s">
        <v>213</v>
      </c>
      <c r="D1143" s="52" t="s">
        <v>214</v>
      </c>
      <c r="E1143" s="52"/>
      <c r="F1143" s="62"/>
      <c r="G1143" s="52"/>
      <c r="H1143" s="63"/>
      <c r="I1143" s="63"/>
      <c r="J1143" s="54"/>
      <c r="K1143" s="54"/>
      <c r="L1143" s="56"/>
      <c r="M1143" s="56"/>
      <c r="N1143" s="56"/>
      <c r="O1143" s="56"/>
      <c r="P1143" s="56"/>
      <c r="Q1143" s="56"/>
      <c r="R1143" s="56"/>
      <c r="S1143" s="56"/>
      <c r="T1143" s="56"/>
      <c r="U1143" s="56"/>
      <c r="V1143" s="56"/>
      <c r="W1143" s="56"/>
      <c r="X1143" s="56"/>
      <c r="Y1143" s="56"/>
      <c r="Z1143" s="56"/>
    </row>
    <row r="1144" ht="57.0" customHeight="1">
      <c r="A1144" s="57" t="s">
        <v>3366</v>
      </c>
      <c r="B1144" s="57" t="s">
        <v>212</v>
      </c>
      <c r="C1144" s="57" t="s">
        <v>3367</v>
      </c>
      <c r="D1144" s="57" t="s">
        <v>3368</v>
      </c>
      <c r="E1144" s="57" t="s">
        <v>3369</v>
      </c>
      <c r="F1144" s="58">
        <v>2080000.0</v>
      </c>
      <c r="G1144" s="57" t="s">
        <v>512</v>
      </c>
      <c r="H1144" s="59" t="s">
        <v>594</v>
      </c>
      <c r="I1144" s="59" t="s">
        <v>1110</v>
      </c>
      <c r="J1144" s="61" t="s">
        <v>3370</v>
      </c>
      <c r="K1144" s="67">
        <v>26146.0</v>
      </c>
      <c r="L1144" s="42"/>
      <c r="M1144" s="42"/>
      <c r="N1144" s="42"/>
      <c r="O1144" s="42"/>
      <c r="P1144" s="42"/>
      <c r="Q1144" s="42"/>
      <c r="R1144" s="42"/>
      <c r="S1144" s="42"/>
      <c r="T1144" s="42"/>
      <c r="U1144" s="42"/>
      <c r="V1144" s="42"/>
      <c r="W1144" s="42"/>
      <c r="X1144" s="42"/>
      <c r="Y1144" s="42"/>
      <c r="Z1144" s="42"/>
    </row>
    <row r="1145" ht="57.0" customHeight="1">
      <c r="A1145" s="57" t="s">
        <v>3366</v>
      </c>
      <c r="B1145" s="57" t="s">
        <v>212</v>
      </c>
      <c r="C1145" s="57" t="s">
        <v>3371</v>
      </c>
      <c r="D1145" s="57" t="s">
        <v>3372</v>
      </c>
      <c r="E1145" s="57" t="s">
        <v>3373</v>
      </c>
      <c r="F1145" s="58">
        <v>2358000.0</v>
      </c>
      <c r="G1145" s="57" t="s">
        <v>512</v>
      </c>
      <c r="H1145" s="59" t="s">
        <v>594</v>
      </c>
      <c r="I1145" s="59" t="s">
        <v>1110</v>
      </c>
      <c r="J1145" s="61" t="s">
        <v>3370</v>
      </c>
      <c r="K1145" s="67">
        <v>26146.0</v>
      </c>
      <c r="L1145" s="42"/>
      <c r="M1145" s="42"/>
      <c r="N1145" s="42"/>
      <c r="O1145" s="42"/>
      <c r="P1145" s="42"/>
      <c r="Q1145" s="42"/>
      <c r="R1145" s="42"/>
      <c r="S1145" s="42"/>
      <c r="T1145" s="42"/>
      <c r="U1145" s="42"/>
      <c r="V1145" s="42"/>
      <c r="W1145" s="42"/>
      <c r="X1145" s="42"/>
      <c r="Y1145" s="42"/>
      <c r="Z1145" s="42"/>
    </row>
    <row r="1146" ht="85.5" customHeight="1">
      <c r="A1146" s="57" t="s">
        <v>3366</v>
      </c>
      <c r="B1146" s="57" t="s">
        <v>212</v>
      </c>
      <c r="C1146" s="57" t="s">
        <v>3374</v>
      </c>
      <c r="D1146" s="57" t="s">
        <v>3375</v>
      </c>
      <c r="E1146" s="57" t="s">
        <v>3373</v>
      </c>
      <c r="F1146" s="58">
        <v>2458000.0</v>
      </c>
      <c r="G1146" s="57" t="s">
        <v>512</v>
      </c>
      <c r="H1146" s="59" t="s">
        <v>594</v>
      </c>
      <c r="I1146" s="59" t="s">
        <v>1110</v>
      </c>
      <c r="J1146" s="61" t="s">
        <v>3370</v>
      </c>
      <c r="K1146" s="67">
        <v>26146.0</v>
      </c>
      <c r="L1146" s="42"/>
      <c r="M1146" s="42"/>
      <c r="N1146" s="42"/>
      <c r="O1146" s="42"/>
      <c r="P1146" s="42"/>
      <c r="Q1146" s="42"/>
      <c r="R1146" s="42"/>
      <c r="S1146" s="42"/>
      <c r="T1146" s="42"/>
      <c r="U1146" s="42"/>
      <c r="V1146" s="42"/>
      <c r="W1146" s="42"/>
      <c r="X1146" s="42"/>
      <c r="Y1146" s="42"/>
      <c r="Z1146" s="42"/>
    </row>
    <row r="1147" ht="57.0" customHeight="1">
      <c r="A1147" s="57" t="s">
        <v>3366</v>
      </c>
      <c r="B1147" s="57" t="s">
        <v>212</v>
      </c>
      <c r="C1147" s="57" t="s">
        <v>3376</v>
      </c>
      <c r="D1147" s="57" t="s">
        <v>3377</v>
      </c>
      <c r="E1147" s="57" t="s">
        <v>3378</v>
      </c>
      <c r="F1147" s="58">
        <v>1800000.0</v>
      </c>
      <c r="G1147" s="57" t="s">
        <v>512</v>
      </c>
      <c r="H1147" s="59" t="s">
        <v>252</v>
      </c>
      <c r="I1147" s="60" t="s">
        <v>253</v>
      </c>
      <c r="J1147" s="61"/>
      <c r="K1147" s="61"/>
      <c r="L1147" s="42"/>
      <c r="M1147" s="42"/>
      <c r="N1147" s="42"/>
      <c r="O1147" s="42"/>
      <c r="P1147" s="42"/>
      <c r="Q1147" s="42"/>
      <c r="R1147" s="42"/>
      <c r="S1147" s="42"/>
      <c r="T1147" s="42"/>
      <c r="U1147" s="42"/>
      <c r="V1147" s="42"/>
      <c r="W1147" s="42"/>
      <c r="X1147" s="42"/>
      <c r="Y1147" s="42"/>
      <c r="Z1147" s="42"/>
    </row>
    <row r="1148" ht="57.0" customHeight="1">
      <c r="A1148" s="57" t="s">
        <v>3366</v>
      </c>
      <c r="B1148" s="57" t="s">
        <v>212</v>
      </c>
      <c r="C1148" s="57" t="s">
        <v>3379</v>
      </c>
      <c r="D1148" s="57" t="s">
        <v>3380</v>
      </c>
      <c r="E1148" s="57" t="s">
        <v>3381</v>
      </c>
      <c r="F1148" s="58">
        <v>2500000.0</v>
      </c>
      <c r="G1148" s="57" t="s">
        <v>512</v>
      </c>
      <c r="H1148" s="59" t="s">
        <v>252</v>
      </c>
      <c r="I1148" s="60" t="s">
        <v>253</v>
      </c>
      <c r="J1148" s="61"/>
      <c r="K1148" s="61"/>
      <c r="L1148" s="42"/>
      <c r="M1148" s="42"/>
      <c r="N1148" s="42"/>
      <c r="O1148" s="42"/>
      <c r="P1148" s="42"/>
      <c r="Q1148" s="42"/>
      <c r="R1148" s="42"/>
      <c r="S1148" s="42"/>
      <c r="T1148" s="42"/>
      <c r="U1148" s="42"/>
      <c r="V1148" s="42"/>
      <c r="W1148" s="42"/>
      <c r="X1148" s="42"/>
      <c r="Y1148" s="42"/>
      <c r="Z1148" s="42"/>
    </row>
    <row r="1149" ht="57.0" customHeight="1">
      <c r="A1149" s="57" t="s">
        <v>3366</v>
      </c>
      <c r="B1149" s="57" t="s">
        <v>212</v>
      </c>
      <c r="C1149" s="57" t="s">
        <v>3382</v>
      </c>
      <c r="D1149" s="57" t="s">
        <v>3383</v>
      </c>
      <c r="E1149" s="57" t="s">
        <v>3384</v>
      </c>
      <c r="F1149" s="58">
        <v>7000000.0</v>
      </c>
      <c r="G1149" s="57" t="s">
        <v>512</v>
      </c>
      <c r="H1149" s="59" t="s">
        <v>252</v>
      </c>
      <c r="I1149" s="60" t="s">
        <v>253</v>
      </c>
      <c r="J1149" s="61"/>
      <c r="K1149" s="61"/>
      <c r="L1149" s="42"/>
      <c r="M1149" s="42"/>
      <c r="N1149" s="42"/>
      <c r="O1149" s="42"/>
      <c r="P1149" s="42"/>
      <c r="Q1149" s="42"/>
      <c r="R1149" s="42"/>
      <c r="S1149" s="42"/>
      <c r="T1149" s="42"/>
      <c r="U1149" s="42"/>
      <c r="V1149" s="42"/>
      <c r="W1149" s="42"/>
      <c r="X1149" s="42"/>
      <c r="Y1149" s="42"/>
      <c r="Z1149" s="42"/>
    </row>
    <row r="1150" ht="57.0" customHeight="1">
      <c r="A1150" s="57" t="s">
        <v>3366</v>
      </c>
      <c r="B1150" s="57" t="s">
        <v>212</v>
      </c>
      <c r="C1150" s="57" t="s">
        <v>3385</v>
      </c>
      <c r="D1150" s="57" t="s">
        <v>3386</v>
      </c>
      <c r="E1150" s="57" t="s">
        <v>3387</v>
      </c>
      <c r="F1150" s="58">
        <v>1.0E7</v>
      </c>
      <c r="G1150" s="57" t="s">
        <v>512</v>
      </c>
      <c r="H1150" s="59" t="s">
        <v>252</v>
      </c>
      <c r="I1150" s="60" t="s">
        <v>253</v>
      </c>
      <c r="J1150" s="61"/>
      <c r="K1150" s="61"/>
      <c r="L1150" s="42"/>
      <c r="M1150" s="42"/>
      <c r="N1150" s="42"/>
      <c r="O1150" s="42"/>
      <c r="P1150" s="42"/>
      <c r="Q1150" s="42"/>
      <c r="R1150" s="42"/>
      <c r="S1150" s="42"/>
      <c r="T1150" s="42"/>
      <c r="U1150" s="42"/>
      <c r="V1150" s="42"/>
      <c r="W1150" s="42"/>
      <c r="X1150" s="42"/>
      <c r="Y1150" s="42"/>
      <c r="Z1150" s="42"/>
    </row>
    <row r="1151" ht="57.0" customHeight="1">
      <c r="A1151" s="57" t="s">
        <v>3366</v>
      </c>
      <c r="B1151" s="57" t="s">
        <v>212</v>
      </c>
      <c r="C1151" s="57" t="s">
        <v>3388</v>
      </c>
      <c r="D1151" s="57" t="s">
        <v>3389</v>
      </c>
      <c r="E1151" s="57" t="s">
        <v>3390</v>
      </c>
      <c r="F1151" s="58">
        <v>3.5E7</v>
      </c>
      <c r="G1151" s="57" t="s">
        <v>251</v>
      </c>
      <c r="H1151" s="59" t="s">
        <v>252</v>
      </c>
      <c r="I1151" s="60" t="s">
        <v>253</v>
      </c>
      <c r="J1151" s="61"/>
      <c r="K1151" s="61"/>
      <c r="L1151" s="42"/>
      <c r="M1151" s="42"/>
      <c r="N1151" s="42"/>
      <c r="O1151" s="42"/>
      <c r="P1151" s="42"/>
      <c r="Q1151" s="42"/>
      <c r="R1151" s="42"/>
      <c r="S1151" s="42"/>
      <c r="T1151" s="42"/>
      <c r="U1151" s="42"/>
      <c r="V1151" s="42"/>
      <c r="W1151" s="42"/>
      <c r="X1151" s="42"/>
      <c r="Y1151" s="42"/>
      <c r="Z1151" s="42"/>
    </row>
    <row r="1152" ht="85.5" customHeight="1">
      <c r="A1152" s="57" t="s">
        <v>3366</v>
      </c>
      <c r="B1152" s="57" t="s">
        <v>212</v>
      </c>
      <c r="C1152" s="57" t="s">
        <v>3391</v>
      </c>
      <c r="D1152" s="57" t="s">
        <v>3392</v>
      </c>
      <c r="E1152" s="57" t="s">
        <v>3373</v>
      </c>
      <c r="F1152" s="58">
        <v>4400000.0</v>
      </c>
      <c r="G1152" s="57" t="s">
        <v>512</v>
      </c>
      <c r="H1152" s="59" t="s">
        <v>594</v>
      </c>
      <c r="I1152" s="59" t="s">
        <v>3393</v>
      </c>
      <c r="J1152" s="61" t="s">
        <v>3394</v>
      </c>
      <c r="K1152" s="67">
        <v>26146.0</v>
      </c>
      <c r="L1152" s="42"/>
      <c r="M1152" s="42"/>
      <c r="N1152" s="42"/>
      <c r="O1152" s="42"/>
      <c r="P1152" s="42"/>
      <c r="Q1152" s="42"/>
      <c r="R1152" s="42"/>
      <c r="S1152" s="42"/>
      <c r="T1152" s="42"/>
      <c r="U1152" s="42"/>
      <c r="V1152" s="42"/>
      <c r="W1152" s="42"/>
      <c r="X1152" s="42"/>
      <c r="Y1152" s="42"/>
      <c r="Z1152" s="42"/>
    </row>
    <row r="1153" ht="57.0" customHeight="1">
      <c r="A1153" s="57" t="s">
        <v>3366</v>
      </c>
      <c r="B1153" s="57" t="s">
        <v>212</v>
      </c>
      <c r="C1153" s="57" t="s">
        <v>3395</v>
      </c>
      <c r="D1153" s="57" t="s">
        <v>3396</v>
      </c>
      <c r="E1153" s="57" t="s">
        <v>3397</v>
      </c>
      <c r="F1153" s="58">
        <v>1.8E7</v>
      </c>
      <c r="G1153" s="57" t="s">
        <v>512</v>
      </c>
      <c r="H1153" s="59" t="s">
        <v>252</v>
      </c>
      <c r="I1153" s="59" t="s">
        <v>468</v>
      </c>
      <c r="J1153" s="61"/>
      <c r="K1153" s="61"/>
      <c r="L1153" s="42"/>
      <c r="M1153" s="42"/>
      <c r="N1153" s="42"/>
      <c r="O1153" s="42"/>
      <c r="P1153" s="42"/>
      <c r="Q1153" s="42"/>
      <c r="R1153" s="42"/>
      <c r="S1153" s="42"/>
      <c r="T1153" s="42"/>
      <c r="U1153" s="42"/>
      <c r="V1153" s="42"/>
      <c r="W1153" s="42"/>
      <c r="X1153" s="42"/>
      <c r="Y1153" s="42"/>
      <c r="Z1153" s="42"/>
    </row>
    <row r="1154" ht="85.5" customHeight="1">
      <c r="A1154" s="57" t="s">
        <v>3366</v>
      </c>
      <c r="B1154" s="57" t="s">
        <v>212</v>
      </c>
      <c r="C1154" s="57" t="s">
        <v>3398</v>
      </c>
      <c r="D1154" s="57" t="s">
        <v>3399</v>
      </c>
      <c r="E1154" s="57" t="s">
        <v>3400</v>
      </c>
      <c r="F1154" s="58">
        <v>1.3E7</v>
      </c>
      <c r="G1154" s="57" t="s">
        <v>512</v>
      </c>
      <c r="H1154" s="59" t="s">
        <v>252</v>
      </c>
      <c r="I1154" s="59" t="s">
        <v>468</v>
      </c>
      <c r="J1154" s="61"/>
      <c r="K1154" s="61"/>
      <c r="L1154" s="42"/>
      <c r="M1154" s="42"/>
      <c r="N1154" s="42"/>
      <c r="O1154" s="42"/>
      <c r="P1154" s="42"/>
      <c r="Q1154" s="42"/>
      <c r="R1154" s="42"/>
      <c r="S1154" s="42"/>
      <c r="T1154" s="42"/>
      <c r="U1154" s="42"/>
      <c r="V1154" s="42"/>
      <c r="W1154" s="42"/>
      <c r="X1154" s="42"/>
      <c r="Y1154" s="42"/>
      <c r="Z1154" s="42"/>
    </row>
    <row r="1155" ht="85.5" customHeight="1">
      <c r="A1155" s="57" t="s">
        <v>3366</v>
      </c>
      <c r="B1155" s="57" t="s">
        <v>212</v>
      </c>
      <c r="C1155" s="57" t="s">
        <v>3401</v>
      </c>
      <c r="D1155" s="57" t="s">
        <v>3402</v>
      </c>
      <c r="E1155" s="57" t="s">
        <v>3403</v>
      </c>
      <c r="F1155" s="58">
        <v>1.5E7</v>
      </c>
      <c r="G1155" s="57" t="s">
        <v>512</v>
      </c>
      <c r="H1155" s="59" t="s">
        <v>252</v>
      </c>
      <c r="I1155" s="59" t="s">
        <v>468</v>
      </c>
      <c r="J1155" s="61"/>
      <c r="K1155" s="61"/>
      <c r="L1155" s="42"/>
      <c r="M1155" s="42"/>
      <c r="N1155" s="42"/>
      <c r="O1155" s="42"/>
      <c r="P1155" s="42"/>
      <c r="Q1155" s="42"/>
      <c r="R1155" s="42"/>
      <c r="S1155" s="42"/>
      <c r="T1155" s="42"/>
      <c r="U1155" s="42"/>
      <c r="V1155" s="42"/>
      <c r="W1155" s="42"/>
      <c r="X1155" s="42"/>
      <c r="Y1155" s="42"/>
      <c r="Z1155" s="42"/>
    </row>
    <row r="1156" ht="85.5" customHeight="1">
      <c r="A1156" s="57" t="s">
        <v>3366</v>
      </c>
      <c r="B1156" s="57" t="s">
        <v>212</v>
      </c>
      <c r="C1156" s="57" t="s">
        <v>3404</v>
      </c>
      <c r="D1156" s="57" t="s">
        <v>3405</v>
      </c>
      <c r="E1156" s="57" t="s">
        <v>3406</v>
      </c>
      <c r="F1156" s="58">
        <v>2.3E7</v>
      </c>
      <c r="G1156" s="57" t="s">
        <v>512</v>
      </c>
      <c r="H1156" s="59" t="s">
        <v>252</v>
      </c>
      <c r="I1156" s="59" t="s">
        <v>468</v>
      </c>
      <c r="J1156" s="61"/>
      <c r="K1156" s="61"/>
      <c r="L1156" s="42"/>
      <c r="M1156" s="42"/>
      <c r="N1156" s="42"/>
      <c r="O1156" s="42"/>
      <c r="P1156" s="42"/>
      <c r="Q1156" s="42"/>
      <c r="R1156" s="42"/>
      <c r="S1156" s="42"/>
      <c r="T1156" s="42"/>
      <c r="U1156" s="42"/>
      <c r="V1156" s="42"/>
      <c r="W1156" s="42"/>
      <c r="X1156" s="42"/>
      <c r="Y1156" s="42"/>
      <c r="Z1156" s="42"/>
    </row>
    <row r="1157" ht="114.0" customHeight="1">
      <c r="A1157" s="57" t="s">
        <v>3366</v>
      </c>
      <c r="B1157" s="57" t="s">
        <v>212</v>
      </c>
      <c r="C1157" s="57" t="s">
        <v>3407</v>
      </c>
      <c r="D1157" s="57" t="s">
        <v>3408</v>
      </c>
      <c r="E1157" s="57" t="s">
        <v>3409</v>
      </c>
      <c r="F1157" s="58">
        <v>2.8E7</v>
      </c>
      <c r="G1157" s="57" t="s">
        <v>512</v>
      </c>
      <c r="H1157" s="59" t="s">
        <v>252</v>
      </c>
      <c r="I1157" s="59" t="s">
        <v>468</v>
      </c>
      <c r="J1157" s="61"/>
      <c r="K1157" s="61"/>
      <c r="L1157" s="42"/>
      <c r="M1157" s="42"/>
      <c r="N1157" s="42"/>
      <c r="O1157" s="42"/>
      <c r="P1157" s="42"/>
      <c r="Q1157" s="42"/>
      <c r="R1157" s="42"/>
      <c r="S1157" s="42"/>
      <c r="T1157" s="42"/>
      <c r="U1157" s="42"/>
      <c r="V1157" s="42"/>
      <c r="W1157" s="42"/>
      <c r="X1157" s="42"/>
      <c r="Y1157" s="42"/>
      <c r="Z1157" s="42"/>
    </row>
    <row r="1158" ht="57.0" customHeight="1">
      <c r="A1158" s="57" t="s">
        <v>3366</v>
      </c>
      <c r="B1158" s="57" t="s">
        <v>212</v>
      </c>
      <c r="C1158" s="57" t="s">
        <v>3410</v>
      </c>
      <c r="D1158" s="57" t="s">
        <v>3411</v>
      </c>
      <c r="E1158" s="57" t="s">
        <v>3412</v>
      </c>
      <c r="F1158" s="58">
        <v>3.45E7</v>
      </c>
      <c r="G1158" s="57" t="s">
        <v>3413</v>
      </c>
      <c r="H1158" s="59" t="s">
        <v>594</v>
      </c>
      <c r="I1158" s="60" t="s">
        <v>3414</v>
      </c>
      <c r="J1158" s="57" t="s">
        <v>3415</v>
      </c>
      <c r="K1158" s="67">
        <v>26146.0</v>
      </c>
      <c r="L1158" s="42"/>
      <c r="M1158" s="42"/>
      <c r="N1158" s="42"/>
      <c r="O1158" s="42"/>
      <c r="P1158" s="42"/>
      <c r="Q1158" s="42"/>
      <c r="R1158" s="42"/>
      <c r="S1158" s="42"/>
      <c r="T1158" s="42"/>
      <c r="U1158" s="42"/>
      <c r="V1158" s="42"/>
      <c r="W1158" s="42"/>
      <c r="X1158" s="42"/>
      <c r="Y1158" s="42"/>
      <c r="Z1158" s="42"/>
    </row>
    <row r="1159" ht="57.0" customHeight="1">
      <c r="A1159" s="57" t="s">
        <v>3366</v>
      </c>
      <c r="B1159" s="57" t="s">
        <v>212</v>
      </c>
      <c r="C1159" s="57" t="s">
        <v>3416</v>
      </c>
      <c r="D1159" s="57" t="s">
        <v>3417</v>
      </c>
      <c r="E1159" s="57" t="s">
        <v>3412</v>
      </c>
      <c r="F1159" s="58">
        <v>4.3E7</v>
      </c>
      <c r="G1159" s="57" t="s">
        <v>3413</v>
      </c>
      <c r="H1159" s="59" t="s">
        <v>594</v>
      </c>
      <c r="I1159" s="60" t="s">
        <v>3414</v>
      </c>
      <c r="J1159" s="57" t="s">
        <v>3415</v>
      </c>
      <c r="K1159" s="67">
        <v>26146.0</v>
      </c>
      <c r="L1159" s="42"/>
      <c r="M1159" s="42"/>
      <c r="N1159" s="42"/>
      <c r="O1159" s="42"/>
      <c r="P1159" s="42"/>
      <c r="Q1159" s="42"/>
      <c r="R1159" s="42"/>
      <c r="S1159" s="42"/>
      <c r="T1159" s="42"/>
      <c r="U1159" s="42"/>
      <c r="V1159" s="42"/>
      <c r="W1159" s="42"/>
      <c r="X1159" s="42"/>
      <c r="Y1159" s="42"/>
      <c r="Z1159" s="42"/>
    </row>
    <row r="1160" ht="57.0" customHeight="1">
      <c r="A1160" s="57" t="s">
        <v>3366</v>
      </c>
      <c r="B1160" s="57" t="s">
        <v>212</v>
      </c>
      <c r="C1160" s="57" t="s">
        <v>3418</v>
      </c>
      <c r="D1160" s="57" t="s">
        <v>3419</v>
      </c>
      <c r="E1160" s="57" t="s">
        <v>3420</v>
      </c>
      <c r="F1160" s="58">
        <v>9500000.0</v>
      </c>
      <c r="G1160" s="57" t="s">
        <v>512</v>
      </c>
      <c r="H1160" s="59" t="s">
        <v>252</v>
      </c>
      <c r="I1160" s="59" t="s">
        <v>472</v>
      </c>
      <c r="J1160" s="61"/>
      <c r="K1160" s="61"/>
      <c r="L1160" s="42"/>
      <c r="M1160" s="42"/>
      <c r="N1160" s="42"/>
      <c r="O1160" s="42"/>
      <c r="P1160" s="42"/>
      <c r="Q1160" s="42"/>
      <c r="R1160" s="42"/>
      <c r="S1160" s="42"/>
      <c r="T1160" s="42"/>
      <c r="U1160" s="42"/>
      <c r="V1160" s="42"/>
      <c r="W1160" s="42"/>
      <c r="X1160" s="42"/>
      <c r="Y1160" s="42"/>
      <c r="Z1160" s="42"/>
    </row>
    <row r="1161" ht="57.0" customHeight="1">
      <c r="A1161" s="52" t="s">
        <v>3366</v>
      </c>
      <c r="B1161" s="52" t="s">
        <v>215</v>
      </c>
      <c r="C1161" s="52" t="s">
        <v>216</v>
      </c>
      <c r="D1161" s="52" t="s">
        <v>217</v>
      </c>
      <c r="E1161" s="52"/>
      <c r="F1161" s="62"/>
      <c r="G1161" s="52"/>
      <c r="H1161" s="63"/>
      <c r="I1161" s="63"/>
      <c r="J1161" s="54"/>
      <c r="K1161" s="54"/>
      <c r="L1161" s="56"/>
      <c r="M1161" s="56"/>
      <c r="N1161" s="56"/>
      <c r="O1161" s="56"/>
      <c r="P1161" s="56"/>
      <c r="Q1161" s="56"/>
      <c r="R1161" s="56"/>
      <c r="S1161" s="56"/>
      <c r="T1161" s="56"/>
      <c r="U1161" s="56"/>
      <c r="V1161" s="56"/>
      <c r="W1161" s="56"/>
      <c r="X1161" s="56"/>
      <c r="Y1161" s="56"/>
      <c r="Z1161" s="56"/>
    </row>
    <row r="1162" ht="57.0" customHeight="1">
      <c r="A1162" s="57" t="s">
        <v>3366</v>
      </c>
      <c r="B1162" s="57" t="s">
        <v>215</v>
      </c>
      <c r="C1162" s="57" t="s">
        <v>3421</v>
      </c>
      <c r="D1162" s="57" t="s">
        <v>3422</v>
      </c>
      <c r="E1162" s="57"/>
      <c r="F1162" s="58">
        <v>587000.0</v>
      </c>
      <c r="G1162" s="57" t="s">
        <v>512</v>
      </c>
      <c r="H1162" s="59" t="s">
        <v>952</v>
      </c>
      <c r="I1162" s="59" t="s">
        <v>953</v>
      </c>
      <c r="J1162" s="61"/>
      <c r="K1162" s="61"/>
      <c r="L1162" s="42"/>
      <c r="M1162" s="42"/>
      <c r="N1162" s="42"/>
      <c r="O1162" s="42"/>
      <c r="P1162" s="42"/>
      <c r="Q1162" s="42"/>
      <c r="R1162" s="42"/>
      <c r="S1162" s="42"/>
      <c r="T1162" s="42"/>
      <c r="U1162" s="42"/>
      <c r="V1162" s="42"/>
      <c r="W1162" s="42"/>
      <c r="X1162" s="42"/>
      <c r="Y1162" s="42"/>
      <c r="Z1162" s="42"/>
    </row>
    <row r="1163" ht="57.0" customHeight="1">
      <c r="A1163" s="57" t="s">
        <v>3366</v>
      </c>
      <c r="B1163" s="57" t="s">
        <v>215</v>
      </c>
      <c r="C1163" s="57" t="s">
        <v>3423</v>
      </c>
      <c r="D1163" s="57" t="s">
        <v>3424</v>
      </c>
      <c r="E1163" s="57"/>
      <c r="F1163" s="58">
        <v>800000.0</v>
      </c>
      <c r="G1163" s="57" t="s">
        <v>512</v>
      </c>
      <c r="H1163" s="59" t="s">
        <v>952</v>
      </c>
      <c r="I1163" s="59" t="s">
        <v>953</v>
      </c>
      <c r="J1163" s="61"/>
      <c r="K1163" s="61"/>
      <c r="L1163" s="42"/>
      <c r="M1163" s="42"/>
      <c r="N1163" s="42"/>
      <c r="O1163" s="42"/>
      <c r="P1163" s="42"/>
      <c r="Q1163" s="42"/>
      <c r="R1163" s="42"/>
      <c r="S1163" s="42"/>
      <c r="T1163" s="42"/>
      <c r="U1163" s="42"/>
      <c r="V1163" s="42"/>
      <c r="W1163" s="42"/>
      <c r="X1163" s="42"/>
      <c r="Y1163" s="42"/>
      <c r="Z1163" s="42"/>
    </row>
    <row r="1164" ht="57.0" customHeight="1">
      <c r="A1164" s="57" t="s">
        <v>3366</v>
      </c>
      <c r="B1164" s="57" t="s">
        <v>215</v>
      </c>
      <c r="C1164" s="57" t="s">
        <v>3425</v>
      </c>
      <c r="D1164" s="57" t="s">
        <v>3426</v>
      </c>
      <c r="E1164" s="57"/>
      <c r="F1164" s="58">
        <v>953000.0</v>
      </c>
      <c r="G1164" s="57" t="s">
        <v>512</v>
      </c>
      <c r="H1164" s="59" t="s">
        <v>952</v>
      </c>
      <c r="I1164" s="59" t="s">
        <v>953</v>
      </c>
      <c r="J1164" s="61"/>
      <c r="K1164" s="61"/>
      <c r="L1164" s="42"/>
      <c r="M1164" s="42"/>
      <c r="N1164" s="42"/>
      <c r="O1164" s="42"/>
      <c r="P1164" s="42"/>
      <c r="Q1164" s="42"/>
      <c r="R1164" s="42"/>
      <c r="S1164" s="42"/>
      <c r="T1164" s="42"/>
      <c r="U1164" s="42"/>
      <c r="V1164" s="42"/>
      <c r="W1164" s="42"/>
      <c r="X1164" s="42"/>
      <c r="Y1164" s="42"/>
      <c r="Z1164" s="42"/>
    </row>
    <row r="1165" ht="85.5" customHeight="1">
      <c r="A1165" s="57" t="s">
        <v>3366</v>
      </c>
      <c r="B1165" s="57" t="s">
        <v>215</v>
      </c>
      <c r="C1165" s="57" t="s">
        <v>3427</v>
      </c>
      <c r="D1165" s="57" t="s">
        <v>3428</v>
      </c>
      <c r="E1165" s="57"/>
      <c r="F1165" s="58">
        <v>604000.0</v>
      </c>
      <c r="G1165" s="57" t="s">
        <v>512</v>
      </c>
      <c r="H1165" s="59" t="s">
        <v>952</v>
      </c>
      <c r="I1165" s="59" t="s">
        <v>953</v>
      </c>
      <c r="J1165" s="61"/>
      <c r="K1165" s="61"/>
      <c r="L1165" s="42"/>
      <c r="M1165" s="42"/>
      <c r="N1165" s="42"/>
      <c r="O1165" s="42"/>
      <c r="P1165" s="42"/>
      <c r="Q1165" s="42"/>
      <c r="R1165" s="42"/>
      <c r="S1165" s="42"/>
      <c r="T1165" s="42"/>
      <c r="U1165" s="42"/>
      <c r="V1165" s="42"/>
      <c r="W1165" s="42"/>
      <c r="X1165" s="42"/>
      <c r="Y1165" s="42"/>
      <c r="Z1165" s="42"/>
    </row>
    <row r="1166" ht="114.0" customHeight="1">
      <c r="A1166" s="57" t="s">
        <v>3366</v>
      </c>
      <c r="B1166" s="57" t="s">
        <v>215</v>
      </c>
      <c r="C1166" s="57" t="s">
        <v>3429</v>
      </c>
      <c r="D1166" s="57" t="s">
        <v>3430</v>
      </c>
      <c r="E1166" s="57"/>
      <c r="F1166" s="58">
        <v>639900.0</v>
      </c>
      <c r="G1166" s="57" t="s">
        <v>512</v>
      </c>
      <c r="H1166" s="59" t="s">
        <v>952</v>
      </c>
      <c r="I1166" s="59" t="s">
        <v>953</v>
      </c>
      <c r="J1166" s="61"/>
      <c r="K1166" s="61"/>
      <c r="L1166" s="42"/>
      <c r="M1166" s="42"/>
      <c r="N1166" s="42"/>
      <c r="O1166" s="42"/>
      <c r="P1166" s="42"/>
      <c r="Q1166" s="42"/>
      <c r="R1166" s="42"/>
      <c r="S1166" s="42"/>
      <c r="T1166" s="42"/>
      <c r="U1166" s="42"/>
      <c r="V1166" s="42"/>
      <c r="W1166" s="42"/>
      <c r="X1166" s="42"/>
      <c r="Y1166" s="42"/>
      <c r="Z1166" s="42"/>
    </row>
    <row r="1167" ht="114.0" customHeight="1">
      <c r="A1167" s="57" t="s">
        <v>3366</v>
      </c>
      <c r="B1167" s="57" t="s">
        <v>215</v>
      </c>
      <c r="C1167" s="57" t="s">
        <v>3431</v>
      </c>
      <c r="D1167" s="57" t="s">
        <v>3432</v>
      </c>
      <c r="E1167" s="57"/>
      <c r="F1167" s="58">
        <v>766000.0</v>
      </c>
      <c r="G1167" s="57" t="s">
        <v>512</v>
      </c>
      <c r="H1167" s="59" t="s">
        <v>952</v>
      </c>
      <c r="I1167" s="59" t="s">
        <v>953</v>
      </c>
      <c r="J1167" s="61"/>
      <c r="K1167" s="61"/>
      <c r="L1167" s="42"/>
      <c r="M1167" s="42"/>
      <c r="N1167" s="42"/>
      <c r="O1167" s="42"/>
      <c r="P1167" s="42"/>
      <c r="Q1167" s="42"/>
      <c r="R1167" s="42"/>
      <c r="S1167" s="42"/>
      <c r="T1167" s="42"/>
      <c r="U1167" s="42"/>
      <c r="V1167" s="42"/>
      <c r="W1167" s="42"/>
      <c r="X1167" s="42"/>
      <c r="Y1167" s="42"/>
      <c r="Z1167" s="42"/>
    </row>
    <row r="1168" ht="114.0" customHeight="1">
      <c r="A1168" s="57" t="s">
        <v>3366</v>
      </c>
      <c r="B1168" s="57" t="s">
        <v>215</v>
      </c>
      <c r="C1168" s="57" t="s">
        <v>3433</v>
      </c>
      <c r="D1168" s="57" t="s">
        <v>3434</v>
      </c>
      <c r="E1168" s="57"/>
      <c r="F1168" s="58">
        <v>801900.0</v>
      </c>
      <c r="G1168" s="57" t="s">
        <v>512</v>
      </c>
      <c r="H1168" s="59" t="s">
        <v>952</v>
      </c>
      <c r="I1168" s="59" t="s">
        <v>953</v>
      </c>
      <c r="J1168" s="61"/>
      <c r="K1168" s="61"/>
      <c r="L1168" s="42"/>
      <c r="M1168" s="42"/>
      <c r="N1168" s="42"/>
      <c r="O1168" s="42"/>
      <c r="P1168" s="42"/>
      <c r="Q1168" s="42"/>
      <c r="R1168" s="42"/>
      <c r="S1168" s="42"/>
      <c r="T1168" s="42"/>
      <c r="U1168" s="42"/>
      <c r="V1168" s="42"/>
      <c r="W1168" s="42"/>
      <c r="X1168" s="42"/>
      <c r="Y1168" s="42"/>
      <c r="Z1168" s="42"/>
    </row>
    <row r="1169" ht="85.5" customHeight="1">
      <c r="A1169" s="57" t="s">
        <v>3366</v>
      </c>
      <c r="B1169" s="57" t="s">
        <v>215</v>
      </c>
      <c r="C1169" s="57" t="s">
        <v>3435</v>
      </c>
      <c r="D1169" s="57" t="s">
        <v>3436</v>
      </c>
      <c r="E1169" s="57"/>
      <c r="F1169" s="58">
        <v>923000.0</v>
      </c>
      <c r="G1169" s="57" t="s">
        <v>512</v>
      </c>
      <c r="H1169" s="59" t="s">
        <v>952</v>
      </c>
      <c r="I1169" s="59" t="s">
        <v>953</v>
      </c>
      <c r="J1169" s="61"/>
      <c r="K1169" s="61"/>
      <c r="L1169" s="42"/>
      <c r="M1169" s="42"/>
      <c r="N1169" s="42"/>
      <c r="O1169" s="42"/>
      <c r="P1169" s="42"/>
      <c r="Q1169" s="42"/>
      <c r="R1169" s="42"/>
      <c r="S1169" s="42"/>
      <c r="T1169" s="42"/>
      <c r="U1169" s="42"/>
      <c r="V1169" s="42"/>
      <c r="W1169" s="42"/>
      <c r="X1169" s="42"/>
      <c r="Y1169" s="42"/>
      <c r="Z1169" s="42"/>
    </row>
    <row r="1170" ht="114.0" customHeight="1">
      <c r="A1170" s="57" t="s">
        <v>3366</v>
      </c>
      <c r="B1170" s="57" t="s">
        <v>215</v>
      </c>
      <c r="C1170" s="57" t="s">
        <v>3437</v>
      </c>
      <c r="D1170" s="57" t="s">
        <v>3438</v>
      </c>
      <c r="E1170" s="57"/>
      <c r="F1170" s="58">
        <v>958900.0</v>
      </c>
      <c r="G1170" s="57" t="s">
        <v>512</v>
      </c>
      <c r="H1170" s="59" t="s">
        <v>952</v>
      </c>
      <c r="I1170" s="59" t="s">
        <v>953</v>
      </c>
      <c r="J1170" s="61"/>
      <c r="K1170" s="61"/>
      <c r="L1170" s="42"/>
      <c r="M1170" s="42"/>
      <c r="N1170" s="42"/>
      <c r="O1170" s="42"/>
      <c r="P1170" s="42"/>
      <c r="Q1170" s="42"/>
      <c r="R1170" s="42"/>
      <c r="S1170" s="42"/>
      <c r="T1170" s="42"/>
      <c r="U1170" s="42"/>
      <c r="V1170" s="42"/>
      <c r="W1170" s="42"/>
      <c r="X1170" s="42"/>
      <c r="Y1170" s="42"/>
      <c r="Z1170" s="42"/>
    </row>
    <row r="1171" ht="114.0" customHeight="1">
      <c r="A1171" s="57" t="s">
        <v>3366</v>
      </c>
      <c r="B1171" s="57" t="s">
        <v>215</v>
      </c>
      <c r="C1171" s="57" t="s">
        <v>3439</v>
      </c>
      <c r="D1171" s="57" t="s">
        <v>3440</v>
      </c>
      <c r="E1171" s="57"/>
      <c r="F1171" s="58">
        <v>947000.0</v>
      </c>
      <c r="G1171" s="57" t="s">
        <v>512</v>
      </c>
      <c r="H1171" s="59" t="s">
        <v>952</v>
      </c>
      <c r="I1171" s="59" t="s">
        <v>953</v>
      </c>
      <c r="J1171" s="61"/>
      <c r="K1171" s="61"/>
      <c r="L1171" s="42"/>
      <c r="M1171" s="42"/>
      <c r="N1171" s="42"/>
      <c r="O1171" s="42"/>
      <c r="P1171" s="42"/>
      <c r="Q1171" s="42"/>
      <c r="R1171" s="42"/>
      <c r="S1171" s="42"/>
      <c r="T1171" s="42"/>
      <c r="U1171" s="42"/>
      <c r="V1171" s="42"/>
      <c r="W1171" s="42"/>
      <c r="X1171" s="42"/>
      <c r="Y1171" s="42"/>
      <c r="Z1171" s="42"/>
    </row>
    <row r="1172" ht="114.0" customHeight="1">
      <c r="A1172" s="57" t="s">
        <v>3366</v>
      </c>
      <c r="B1172" s="57" t="s">
        <v>215</v>
      </c>
      <c r="C1172" s="57" t="s">
        <v>3441</v>
      </c>
      <c r="D1172" s="57" t="s">
        <v>3442</v>
      </c>
      <c r="E1172" s="57"/>
      <c r="F1172" s="58">
        <v>982900.0</v>
      </c>
      <c r="G1172" s="57" t="s">
        <v>512</v>
      </c>
      <c r="H1172" s="59" t="s">
        <v>952</v>
      </c>
      <c r="I1172" s="59" t="s">
        <v>953</v>
      </c>
      <c r="J1172" s="61"/>
      <c r="K1172" s="61"/>
      <c r="L1172" s="42"/>
      <c r="M1172" s="42"/>
      <c r="N1172" s="42"/>
      <c r="O1172" s="42"/>
      <c r="P1172" s="42"/>
      <c r="Q1172" s="42"/>
      <c r="R1172" s="42"/>
      <c r="S1172" s="42"/>
      <c r="T1172" s="42"/>
      <c r="U1172" s="42"/>
      <c r="V1172" s="42"/>
      <c r="W1172" s="42"/>
      <c r="X1172" s="42"/>
      <c r="Y1172" s="42"/>
      <c r="Z1172" s="42"/>
    </row>
    <row r="1173" ht="85.5" customHeight="1">
      <c r="A1173" s="57" t="s">
        <v>3366</v>
      </c>
      <c r="B1173" s="57" t="s">
        <v>215</v>
      </c>
      <c r="C1173" s="57" t="s">
        <v>3443</v>
      </c>
      <c r="D1173" s="57" t="s">
        <v>3444</v>
      </c>
      <c r="E1173" s="57"/>
      <c r="F1173" s="58">
        <v>1172000.0</v>
      </c>
      <c r="G1173" s="57" t="s">
        <v>512</v>
      </c>
      <c r="H1173" s="59" t="s">
        <v>952</v>
      </c>
      <c r="I1173" s="59" t="s">
        <v>953</v>
      </c>
      <c r="J1173" s="61"/>
      <c r="K1173" s="61"/>
      <c r="L1173" s="42"/>
      <c r="M1173" s="42"/>
      <c r="N1173" s="42"/>
      <c r="O1173" s="42"/>
      <c r="P1173" s="42"/>
      <c r="Q1173" s="42"/>
      <c r="R1173" s="42"/>
      <c r="S1173" s="42"/>
      <c r="T1173" s="42"/>
      <c r="U1173" s="42"/>
      <c r="V1173" s="42"/>
      <c r="W1173" s="42"/>
      <c r="X1173" s="42"/>
      <c r="Y1173" s="42"/>
      <c r="Z1173" s="42"/>
    </row>
    <row r="1174" ht="114.0" customHeight="1">
      <c r="A1174" s="57" t="s">
        <v>3366</v>
      </c>
      <c r="B1174" s="57" t="s">
        <v>215</v>
      </c>
      <c r="C1174" s="57" t="s">
        <v>3445</v>
      </c>
      <c r="D1174" s="57" t="s">
        <v>3446</v>
      </c>
      <c r="E1174" s="57"/>
      <c r="F1174" s="58">
        <v>1207900.0</v>
      </c>
      <c r="G1174" s="57" t="s">
        <v>512</v>
      </c>
      <c r="H1174" s="59" t="s">
        <v>952</v>
      </c>
      <c r="I1174" s="59" t="s">
        <v>953</v>
      </c>
      <c r="J1174" s="61"/>
      <c r="K1174" s="61"/>
      <c r="L1174" s="42"/>
      <c r="M1174" s="42"/>
      <c r="N1174" s="42"/>
      <c r="O1174" s="42"/>
      <c r="P1174" s="42"/>
      <c r="Q1174" s="42"/>
      <c r="R1174" s="42"/>
      <c r="S1174" s="42"/>
      <c r="T1174" s="42"/>
      <c r="U1174" s="42"/>
      <c r="V1174" s="42"/>
      <c r="W1174" s="42"/>
      <c r="X1174" s="42"/>
      <c r="Y1174" s="42"/>
      <c r="Z1174" s="42"/>
    </row>
    <row r="1175" ht="57.0" customHeight="1">
      <c r="A1175" s="57" t="s">
        <v>3366</v>
      </c>
      <c r="B1175" s="57" t="s">
        <v>215</v>
      </c>
      <c r="C1175" s="57" t="s">
        <v>3447</v>
      </c>
      <c r="D1175" s="57" t="s">
        <v>3448</v>
      </c>
      <c r="E1175" s="57"/>
      <c r="F1175" s="58">
        <v>35900.0</v>
      </c>
      <c r="G1175" s="57" t="s">
        <v>3449</v>
      </c>
      <c r="H1175" s="59" t="s">
        <v>952</v>
      </c>
      <c r="I1175" s="59" t="s">
        <v>953</v>
      </c>
      <c r="J1175" s="61"/>
      <c r="K1175" s="61"/>
      <c r="L1175" s="42"/>
      <c r="M1175" s="42"/>
      <c r="N1175" s="42"/>
      <c r="O1175" s="42"/>
      <c r="P1175" s="42"/>
      <c r="Q1175" s="42"/>
      <c r="R1175" s="42"/>
      <c r="S1175" s="42"/>
      <c r="T1175" s="42"/>
      <c r="U1175" s="42"/>
      <c r="V1175" s="42"/>
      <c r="W1175" s="42"/>
      <c r="X1175" s="42"/>
      <c r="Y1175" s="42"/>
      <c r="Z1175" s="42"/>
    </row>
    <row r="1176" ht="85.5" customHeight="1">
      <c r="A1176" s="57" t="s">
        <v>3366</v>
      </c>
      <c r="B1176" s="57" t="s">
        <v>215</v>
      </c>
      <c r="C1176" s="57" t="s">
        <v>3450</v>
      </c>
      <c r="D1176" s="57" t="s">
        <v>3451</v>
      </c>
      <c r="E1176" s="57"/>
      <c r="F1176" s="58">
        <v>1086000.0</v>
      </c>
      <c r="G1176" s="57" t="s">
        <v>512</v>
      </c>
      <c r="H1176" s="59" t="s">
        <v>952</v>
      </c>
      <c r="I1176" s="59" t="s">
        <v>953</v>
      </c>
      <c r="J1176" s="61"/>
      <c r="K1176" s="61"/>
      <c r="L1176" s="42"/>
      <c r="M1176" s="42"/>
      <c r="N1176" s="42"/>
      <c r="O1176" s="42"/>
      <c r="P1176" s="42"/>
      <c r="Q1176" s="42"/>
      <c r="R1176" s="42"/>
      <c r="S1176" s="42"/>
      <c r="T1176" s="42"/>
      <c r="U1176" s="42"/>
      <c r="V1176" s="42"/>
      <c r="W1176" s="42"/>
      <c r="X1176" s="42"/>
      <c r="Y1176" s="42"/>
      <c r="Z1176" s="42"/>
    </row>
    <row r="1177" ht="85.5" customHeight="1">
      <c r="A1177" s="57" t="s">
        <v>3366</v>
      </c>
      <c r="B1177" s="57" t="s">
        <v>215</v>
      </c>
      <c r="C1177" s="57" t="s">
        <v>3452</v>
      </c>
      <c r="D1177" s="57" t="s">
        <v>3453</v>
      </c>
      <c r="E1177" s="57"/>
      <c r="F1177" s="58">
        <v>1220000.0</v>
      </c>
      <c r="G1177" s="57" t="s">
        <v>512</v>
      </c>
      <c r="H1177" s="59" t="s">
        <v>952</v>
      </c>
      <c r="I1177" s="59" t="s">
        <v>953</v>
      </c>
      <c r="J1177" s="61"/>
      <c r="K1177" s="61"/>
      <c r="L1177" s="42"/>
      <c r="M1177" s="42"/>
      <c r="N1177" s="42"/>
      <c r="O1177" s="42"/>
      <c r="P1177" s="42"/>
      <c r="Q1177" s="42"/>
      <c r="R1177" s="42"/>
      <c r="S1177" s="42"/>
      <c r="T1177" s="42"/>
      <c r="U1177" s="42"/>
      <c r="V1177" s="42"/>
      <c r="W1177" s="42"/>
      <c r="X1177" s="42"/>
      <c r="Y1177" s="42"/>
      <c r="Z1177" s="42"/>
    </row>
    <row r="1178" ht="85.5" customHeight="1">
      <c r="A1178" s="57" t="s">
        <v>3366</v>
      </c>
      <c r="B1178" s="57" t="s">
        <v>215</v>
      </c>
      <c r="C1178" s="57" t="s">
        <v>3454</v>
      </c>
      <c r="D1178" s="57" t="s">
        <v>3455</v>
      </c>
      <c r="E1178" s="57"/>
      <c r="F1178" s="58">
        <v>1501000.0</v>
      </c>
      <c r="G1178" s="57" t="s">
        <v>512</v>
      </c>
      <c r="H1178" s="59" t="s">
        <v>952</v>
      </c>
      <c r="I1178" s="59" t="s">
        <v>953</v>
      </c>
      <c r="J1178" s="61"/>
      <c r="K1178" s="61"/>
      <c r="L1178" s="42"/>
      <c r="M1178" s="42"/>
      <c r="N1178" s="42"/>
      <c r="O1178" s="42"/>
      <c r="P1178" s="42"/>
      <c r="Q1178" s="42"/>
      <c r="R1178" s="42"/>
      <c r="S1178" s="42"/>
      <c r="T1178" s="42"/>
      <c r="U1178" s="42"/>
      <c r="V1178" s="42"/>
      <c r="W1178" s="42"/>
      <c r="X1178" s="42"/>
      <c r="Y1178" s="42"/>
      <c r="Z1178" s="42"/>
    </row>
    <row r="1179" ht="85.5" customHeight="1">
      <c r="A1179" s="57" t="s">
        <v>3366</v>
      </c>
      <c r="B1179" s="57" t="s">
        <v>215</v>
      </c>
      <c r="C1179" s="57" t="s">
        <v>3456</v>
      </c>
      <c r="D1179" s="57" t="s">
        <v>3457</v>
      </c>
      <c r="E1179" s="57"/>
      <c r="F1179" s="58">
        <v>2190000.0</v>
      </c>
      <c r="G1179" s="57" t="s">
        <v>512</v>
      </c>
      <c r="H1179" s="59" t="s">
        <v>952</v>
      </c>
      <c r="I1179" s="59" t="s">
        <v>953</v>
      </c>
      <c r="J1179" s="61"/>
      <c r="K1179" s="61"/>
      <c r="L1179" s="42"/>
      <c r="M1179" s="42"/>
      <c r="N1179" s="42"/>
      <c r="O1179" s="42"/>
      <c r="P1179" s="42"/>
      <c r="Q1179" s="42"/>
      <c r="R1179" s="42"/>
      <c r="S1179" s="42"/>
      <c r="T1179" s="42"/>
      <c r="U1179" s="42"/>
      <c r="V1179" s="42"/>
      <c r="W1179" s="42"/>
      <c r="X1179" s="42"/>
      <c r="Y1179" s="42"/>
      <c r="Z1179" s="42"/>
    </row>
    <row r="1180" ht="85.5" customHeight="1">
      <c r="A1180" s="57" t="s">
        <v>3366</v>
      </c>
      <c r="B1180" s="57" t="s">
        <v>215</v>
      </c>
      <c r="C1180" s="57" t="s">
        <v>3458</v>
      </c>
      <c r="D1180" s="57" t="s">
        <v>3459</v>
      </c>
      <c r="E1180" s="57"/>
      <c r="F1180" s="58">
        <v>2204000.0</v>
      </c>
      <c r="G1180" s="57" t="s">
        <v>512</v>
      </c>
      <c r="H1180" s="59" t="s">
        <v>952</v>
      </c>
      <c r="I1180" s="59" t="s">
        <v>953</v>
      </c>
      <c r="J1180" s="61"/>
      <c r="K1180" s="61"/>
      <c r="L1180" s="42"/>
      <c r="M1180" s="42"/>
      <c r="N1180" s="42"/>
      <c r="O1180" s="42"/>
      <c r="P1180" s="42"/>
      <c r="Q1180" s="42"/>
      <c r="R1180" s="42"/>
      <c r="S1180" s="42"/>
      <c r="T1180" s="42"/>
      <c r="U1180" s="42"/>
      <c r="V1180" s="42"/>
      <c r="W1180" s="42"/>
      <c r="X1180" s="42"/>
      <c r="Y1180" s="42"/>
      <c r="Z1180" s="42"/>
    </row>
    <row r="1181" ht="85.5" customHeight="1">
      <c r="A1181" s="57" t="s">
        <v>3366</v>
      </c>
      <c r="B1181" s="57" t="s">
        <v>215</v>
      </c>
      <c r="C1181" s="57" t="s">
        <v>3460</v>
      </c>
      <c r="D1181" s="57" t="s">
        <v>3461</v>
      </c>
      <c r="E1181" s="57"/>
      <c r="F1181" s="58">
        <v>2573000.0</v>
      </c>
      <c r="G1181" s="57" t="s">
        <v>512</v>
      </c>
      <c r="H1181" s="59" t="s">
        <v>952</v>
      </c>
      <c r="I1181" s="59" t="s">
        <v>953</v>
      </c>
      <c r="J1181" s="61"/>
      <c r="K1181" s="61"/>
      <c r="L1181" s="42"/>
      <c r="M1181" s="42"/>
      <c r="N1181" s="42"/>
      <c r="O1181" s="42"/>
      <c r="P1181" s="42"/>
      <c r="Q1181" s="42"/>
      <c r="R1181" s="42"/>
      <c r="S1181" s="42"/>
      <c r="T1181" s="42"/>
      <c r="U1181" s="42"/>
      <c r="V1181" s="42"/>
      <c r="W1181" s="42"/>
      <c r="X1181" s="42"/>
      <c r="Y1181" s="42"/>
      <c r="Z1181" s="42"/>
    </row>
    <row r="1182" ht="85.5" customHeight="1">
      <c r="A1182" s="57" t="s">
        <v>3366</v>
      </c>
      <c r="B1182" s="57" t="s">
        <v>215</v>
      </c>
      <c r="C1182" s="57" t="s">
        <v>3462</v>
      </c>
      <c r="D1182" s="57" t="s">
        <v>3463</v>
      </c>
      <c r="E1182" s="57"/>
      <c r="F1182" s="58">
        <v>993000.0</v>
      </c>
      <c r="G1182" s="57" t="s">
        <v>512</v>
      </c>
      <c r="H1182" s="59" t="s">
        <v>952</v>
      </c>
      <c r="I1182" s="59" t="s">
        <v>953</v>
      </c>
      <c r="J1182" s="61"/>
      <c r="K1182" s="61"/>
      <c r="L1182" s="42"/>
      <c r="M1182" s="42"/>
      <c r="N1182" s="42"/>
      <c r="O1182" s="42"/>
      <c r="P1182" s="42"/>
      <c r="Q1182" s="42"/>
      <c r="R1182" s="42"/>
      <c r="S1182" s="42"/>
      <c r="T1182" s="42"/>
      <c r="U1182" s="42"/>
      <c r="V1182" s="42"/>
      <c r="W1182" s="42"/>
      <c r="X1182" s="42"/>
      <c r="Y1182" s="42"/>
      <c r="Z1182" s="42"/>
    </row>
    <row r="1183" ht="85.5" customHeight="1">
      <c r="A1183" s="57" t="s">
        <v>3366</v>
      </c>
      <c r="B1183" s="57" t="s">
        <v>215</v>
      </c>
      <c r="C1183" s="57" t="s">
        <v>3464</v>
      </c>
      <c r="D1183" s="57" t="s">
        <v>3465</v>
      </c>
      <c r="E1183" s="57"/>
      <c r="F1183" s="58">
        <v>2205000.0</v>
      </c>
      <c r="G1183" s="57" t="s">
        <v>512</v>
      </c>
      <c r="H1183" s="59" t="s">
        <v>952</v>
      </c>
      <c r="I1183" s="59" t="s">
        <v>953</v>
      </c>
      <c r="J1183" s="61"/>
      <c r="K1183" s="61"/>
      <c r="L1183" s="42"/>
      <c r="M1183" s="42"/>
      <c r="N1183" s="42"/>
      <c r="O1183" s="42"/>
      <c r="P1183" s="42"/>
      <c r="Q1183" s="42"/>
      <c r="R1183" s="42"/>
      <c r="S1183" s="42"/>
      <c r="T1183" s="42"/>
      <c r="U1183" s="42"/>
      <c r="V1183" s="42"/>
      <c r="W1183" s="42"/>
      <c r="X1183" s="42"/>
      <c r="Y1183" s="42"/>
      <c r="Z1183" s="42"/>
    </row>
    <row r="1184" ht="85.5" customHeight="1">
      <c r="A1184" s="57" t="s">
        <v>3366</v>
      </c>
      <c r="B1184" s="57" t="s">
        <v>215</v>
      </c>
      <c r="C1184" s="57" t="s">
        <v>3466</v>
      </c>
      <c r="D1184" s="57" t="s">
        <v>3467</v>
      </c>
      <c r="E1184" s="57"/>
      <c r="F1184" s="58">
        <v>2536000.0</v>
      </c>
      <c r="G1184" s="57" t="s">
        <v>512</v>
      </c>
      <c r="H1184" s="59" t="s">
        <v>952</v>
      </c>
      <c r="I1184" s="59" t="s">
        <v>953</v>
      </c>
      <c r="J1184" s="61"/>
      <c r="K1184" s="61"/>
      <c r="L1184" s="42"/>
      <c r="M1184" s="42"/>
      <c r="N1184" s="42"/>
      <c r="O1184" s="42"/>
      <c r="P1184" s="42"/>
      <c r="Q1184" s="42"/>
      <c r="R1184" s="42"/>
      <c r="S1184" s="42"/>
      <c r="T1184" s="42"/>
      <c r="U1184" s="42"/>
      <c r="V1184" s="42"/>
      <c r="W1184" s="42"/>
      <c r="X1184" s="42"/>
      <c r="Y1184" s="42"/>
      <c r="Z1184" s="42"/>
    </row>
    <row r="1185" ht="85.5" customHeight="1">
      <c r="A1185" s="57" t="s">
        <v>3366</v>
      </c>
      <c r="B1185" s="57" t="s">
        <v>215</v>
      </c>
      <c r="C1185" s="57" t="s">
        <v>3468</v>
      </c>
      <c r="D1185" s="57" t="s">
        <v>3469</v>
      </c>
      <c r="E1185" s="57"/>
      <c r="F1185" s="58">
        <v>1477000.0</v>
      </c>
      <c r="G1185" s="57" t="s">
        <v>512</v>
      </c>
      <c r="H1185" s="59" t="s">
        <v>952</v>
      </c>
      <c r="I1185" s="59" t="s">
        <v>953</v>
      </c>
      <c r="J1185" s="61"/>
      <c r="K1185" s="61"/>
      <c r="L1185" s="42"/>
      <c r="M1185" s="42"/>
      <c r="N1185" s="42"/>
      <c r="O1185" s="42"/>
      <c r="P1185" s="42"/>
      <c r="Q1185" s="42"/>
      <c r="R1185" s="42"/>
      <c r="S1185" s="42"/>
      <c r="T1185" s="42"/>
      <c r="U1185" s="42"/>
      <c r="V1185" s="42"/>
      <c r="W1185" s="42"/>
      <c r="X1185" s="42"/>
      <c r="Y1185" s="42"/>
      <c r="Z1185" s="42"/>
    </row>
    <row r="1186" ht="85.5" customHeight="1">
      <c r="A1186" s="57" t="s">
        <v>3366</v>
      </c>
      <c r="B1186" s="57" t="s">
        <v>215</v>
      </c>
      <c r="C1186" s="57" t="s">
        <v>3470</v>
      </c>
      <c r="D1186" s="57" t="s">
        <v>3471</v>
      </c>
      <c r="E1186" s="57"/>
      <c r="F1186" s="58">
        <v>1565000.0</v>
      </c>
      <c r="G1186" s="57" t="s">
        <v>512</v>
      </c>
      <c r="H1186" s="59" t="s">
        <v>952</v>
      </c>
      <c r="I1186" s="59" t="s">
        <v>953</v>
      </c>
      <c r="J1186" s="61"/>
      <c r="K1186" s="61"/>
      <c r="L1186" s="42"/>
      <c r="M1186" s="42"/>
      <c r="N1186" s="42"/>
      <c r="O1186" s="42"/>
      <c r="P1186" s="42"/>
      <c r="Q1186" s="42"/>
      <c r="R1186" s="42"/>
      <c r="S1186" s="42"/>
      <c r="T1186" s="42"/>
      <c r="U1186" s="42"/>
      <c r="V1186" s="42"/>
      <c r="W1186" s="42"/>
      <c r="X1186" s="42"/>
      <c r="Y1186" s="42"/>
      <c r="Z1186" s="42"/>
    </row>
    <row r="1187" ht="85.5" customHeight="1">
      <c r="A1187" s="57" t="s">
        <v>3366</v>
      </c>
      <c r="B1187" s="57" t="s">
        <v>215</v>
      </c>
      <c r="C1187" s="57" t="s">
        <v>3472</v>
      </c>
      <c r="D1187" s="57" t="s">
        <v>3473</v>
      </c>
      <c r="E1187" s="57"/>
      <c r="F1187" s="58">
        <v>1480000.0</v>
      </c>
      <c r="G1187" s="57" t="s">
        <v>512</v>
      </c>
      <c r="H1187" s="59" t="s">
        <v>952</v>
      </c>
      <c r="I1187" s="59" t="s">
        <v>953</v>
      </c>
      <c r="J1187" s="61"/>
      <c r="K1187" s="61"/>
      <c r="L1187" s="42"/>
      <c r="M1187" s="42"/>
      <c r="N1187" s="42"/>
      <c r="O1187" s="42"/>
      <c r="P1187" s="42"/>
      <c r="Q1187" s="42"/>
      <c r="R1187" s="42"/>
      <c r="S1187" s="42"/>
      <c r="T1187" s="42"/>
      <c r="U1187" s="42"/>
      <c r="V1187" s="42"/>
      <c r="W1187" s="42"/>
      <c r="X1187" s="42"/>
      <c r="Y1187" s="42"/>
      <c r="Z1187" s="42"/>
    </row>
    <row r="1188" ht="85.5" customHeight="1">
      <c r="A1188" s="57" t="s">
        <v>3366</v>
      </c>
      <c r="B1188" s="57" t="s">
        <v>215</v>
      </c>
      <c r="C1188" s="57" t="s">
        <v>3474</v>
      </c>
      <c r="D1188" s="57" t="s">
        <v>3475</v>
      </c>
      <c r="E1188" s="57"/>
      <c r="F1188" s="58">
        <v>1664000.0</v>
      </c>
      <c r="G1188" s="57" t="s">
        <v>512</v>
      </c>
      <c r="H1188" s="59" t="s">
        <v>952</v>
      </c>
      <c r="I1188" s="59" t="s">
        <v>953</v>
      </c>
      <c r="J1188" s="61"/>
      <c r="K1188" s="61"/>
      <c r="L1188" s="42"/>
      <c r="M1188" s="42"/>
      <c r="N1188" s="42"/>
      <c r="O1188" s="42"/>
      <c r="P1188" s="42"/>
      <c r="Q1188" s="42"/>
      <c r="R1188" s="42"/>
      <c r="S1188" s="42"/>
      <c r="T1188" s="42"/>
      <c r="U1188" s="42"/>
      <c r="V1188" s="42"/>
      <c r="W1188" s="42"/>
      <c r="X1188" s="42"/>
      <c r="Y1188" s="42"/>
      <c r="Z1188" s="42"/>
    </row>
    <row r="1189" ht="57.0" customHeight="1">
      <c r="A1189" s="57" t="s">
        <v>3366</v>
      </c>
      <c r="B1189" s="57" t="s">
        <v>215</v>
      </c>
      <c r="C1189" s="57" t="s">
        <v>3476</v>
      </c>
      <c r="D1189" s="57" t="s">
        <v>3477</v>
      </c>
      <c r="E1189" s="57"/>
      <c r="F1189" s="58">
        <v>2500000.0</v>
      </c>
      <c r="G1189" s="57" t="s">
        <v>512</v>
      </c>
      <c r="H1189" s="59" t="s">
        <v>952</v>
      </c>
      <c r="I1189" s="59" t="s">
        <v>953</v>
      </c>
      <c r="J1189" s="61"/>
      <c r="K1189" s="61"/>
      <c r="L1189" s="42"/>
      <c r="M1189" s="42"/>
      <c r="N1189" s="42"/>
      <c r="O1189" s="42"/>
      <c r="P1189" s="42"/>
      <c r="Q1189" s="42"/>
      <c r="R1189" s="42"/>
      <c r="S1189" s="42"/>
      <c r="T1189" s="42"/>
      <c r="U1189" s="42"/>
      <c r="V1189" s="42"/>
      <c r="W1189" s="42"/>
      <c r="X1189" s="42"/>
      <c r="Y1189" s="42"/>
      <c r="Z1189" s="42"/>
    </row>
    <row r="1190" ht="57.0" customHeight="1">
      <c r="A1190" s="57" t="s">
        <v>3366</v>
      </c>
      <c r="B1190" s="57" t="s">
        <v>215</v>
      </c>
      <c r="C1190" s="57" t="s">
        <v>3478</v>
      </c>
      <c r="D1190" s="57" t="s">
        <v>3479</v>
      </c>
      <c r="E1190" s="57"/>
      <c r="F1190" s="58">
        <v>1302000.0</v>
      </c>
      <c r="G1190" s="57" t="s">
        <v>512</v>
      </c>
      <c r="H1190" s="59" t="s">
        <v>952</v>
      </c>
      <c r="I1190" s="59" t="s">
        <v>953</v>
      </c>
      <c r="J1190" s="61"/>
      <c r="K1190" s="61"/>
      <c r="L1190" s="42"/>
      <c r="M1190" s="42"/>
      <c r="N1190" s="42"/>
      <c r="O1190" s="42"/>
      <c r="P1190" s="42"/>
      <c r="Q1190" s="42"/>
      <c r="R1190" s="42"/>
      <c r="S1190" s="42"/>
      <c r="T1190" s="42"/>
      <c r="U1190" s="42"/>
      <c r="V1190" s="42"/>
      <c r="W1190" s="42"/>
      <c r="X1190" s="42"/>
      <c r="Y1190" s="42"/>
      <c r="Z1190" s="42"/>
    </row>
    <row r="1191" ht="57.0" customHeight="1">
      <c r="A1191" s="57" t="s">
        <v>3366</v>
      </c>
      <c r="B1191" s="57" t="s">
        <v>215</v>
      </c>
      <c r="C1191" s="57" t="s">
        <v>3480</v>
      </c>
      <c r="D1191" s="57" t="s">
        <v>3481</v>
      </c>
      <c r="E1191" s="57"/>
      <c r="F1191" s="58">
        <v>43500.0</v>
      </c>
      <c r="G1191" s="57" t="s">
        <v>512</v>
      </c>
      <c r="H1191" s="59" t="s">
        <v>952</v>
      </c>
      <c r="I1191" s="59" t="s">
        <v>953</v>
      </c>
      <c r="J1191" s="61"/>
      <c r="K1191" s="61"/>
      <c r="L1191" s="42"/>
      <c r="M1191" s="42"/>
      <c r="N1191" s="42"/>
      <c r="O1191" s="42"/>
      <c r="P1191" s="42"/>
      <c r="Q1191" s="42"/>
      <c r="R1191" s="42"/>
      <c r="S1191" s="42"/>
      <c r="T1191" s="42"/>
      <c r="U1191" s="42"/>
      <c r="V1191" s="42"/>
      <c r="W1191" s="42"/>
      <c r="X1191" s="42"/>
      <c r="Y1191" s="42"/>
      <c r="Z1191" s="42"/>
    </row>
    <row r="1192" ht="57.0" customHeight="1">
      <c r="A1192" s="57" t="s">
        <v>3366</v>
      </c>
      <c r="B1192" s="57" t="s">
        <v>215</v>
      </c>
      <c r="C1192" s="57" t="s">
        <v>3482</v>
      </c>
      <c r="D1192" s="57" t="s">
        <v>3483</v>
      </c>
      <c r="E1192" s="57"/>
      <c r="F1192" s="58">
        <v>52000.0</v>
      </c>
      <c r="G1192" s="57" t="s">
        <v>512</v>
      </c>
      <c r="H1192" s="59" t="s">
        <v>952</v>
      </c>
      <c r="I1192" s="59" t="s">
        <v>953</v>
      </c>
      <c r="J1192" s="61"/>
      <c r="K1192" s="61"/>
      <c r="L1192" s="42"/>
      <c r="M1192" s="42"/>
      <c r="N1192" s="42"/>
      <c r="O1192" s="42"/>
      <c r="P1192" s="42"/>
      <c r="Q1192" s="42"/>
      <c r="R1192" s="42"/>
      <c r="S1192" s="42"/>
      <c r="T1192" s="42"/>
      <c r="U1192" s="42"/>
      <c r="V1192" s="42"/>
      <c r="W1192" s="42"/>
      <c r="X1192" s="42"/>
      <c r="Y1192" s="42"/>
      <c r="Z1192" s="42"/>
    </row>
    <row r="1193" ht="57.0" customHeight="1">
      <c r="A1193" s="57" t="s">
        <v>3366</v>
      </c>
      <c r="B1193" s="57" t="s">
        <v>215</v>
      </c>
      <c r="C1193" s="57" t="s">
        <v>3484</v>
      </c>
      <c r="D1193" s="57" t="s">
        <v>3485</v>
      </c>
      <c r="E1193" s="57"/>
      <c r="F1193" s="58">
        <v>60100.0</v>
      </c>
      <c r="G1193" s="57" t="s">
        <v>512</v>
      </c>
      <c r="H1193" s="59" t="s">
        <v>952</v>
      </c>
      <c r="I1193" s="59" t="s">
        <v>953</v>
      </c>
      <c r="J1193" s="61"/>
      <c r="K1193" s="61"/>
      <c r="L1193" s="42"/>
      <c r="M1193" s="42"/>
      <c r="N1193" s="42"/>
      <c r="O1193" s="42"/>
      <c r="P1193" s="42"/>
      <c r="Q1193" s="42"/>
      <c r="R1193" s="42"/>
      <c r="S1193" s="42"/>
      <c r="T1193" s="42"/>
      <c r="U1193" s="42"/>
      <c r="V1193" s="42"/>
      <c r="W1193" s="42"/>
      <c r="X1193" s="42"/>
      <c r="Y1193" s="42"/>
      <c r="Z1193" s="42"/>
    </row>
    <row r="1194" ht="57.0" customHeight="1">
      <c r="A1194" s="57" t="s">
        <v>3366</v>
      </c>
      <c r="B1194" s="57" t="s">
        <v>215</v>
      </c>
      <c r="C1194" s="57" t="s">
        <v>3486</v>
      </c>
      <c r="D1194" s="57" t="s">
        <v>3487</v>
      </c>
      <c r="E1194" s="57"/>
      <c r="F1194" s="58">
        <v>81900.0</v>
      </c>
      <c r="G1194" s="57" t="s">
        <v>512</v>
      </c>
      <c r="H1194" s="59" t="s">
        <v>952</v>
      </c>
      <c r="I1194" s="59" t="s">
        <v>953</v>
      </c>
      <c r="J1194" s="61"/>
      <c r="K1194" s="61"/>
      <c r="L1194" s="42"/>
      <c r="M1194" s="42"/>
      <c r="N1194" s="42"/>
      <c r="O1194" s="42"/>
      <c r="P1194" s="42"/>
      <c r="Q1194" s="42"/>
      <c r="R1194" s="42"/>
      <c r="S1194" s="42"/>
      <c r="T1194" s="42"/>
      <c r="U1194" s="42"/>
      <c r="V1194" s="42"/>
      <c r="W1194" s="42"/>
      <c r="X1194" s="42"/>
      <c r="Y1194" s="42"/>
      <c r="Z1194" s="42"/>
    </row>
    <row r="1195" ht="57.0" customHeight="1">
      <c r="A1195" s="57" t="s">
        <v>3366</v>
      </c>
      <c r="B1195" s="57" t="s">
        <v>215</v>
      </c>
      <c r="C1195" s="57" t="s">
        <v>3488</v>
      </c>
      <c r="D1195" s="57" t="s">
        <v>3489</v>
      </c>
      <c r="E1195" s="57"/>
      <c r="F1195" s="58">
        <v>969800.0</v>
      </c>
      <c r="G1195" s="57" t="s">
        <v>512</v>
      </c>
      <c r="H1195" s="59" t="s">
        <v>594</v>
      </c>
      <c r="I1195" s="59" t="s">
        <v>3490</v>
      </c>
      <c r="J1195" s="61" t="s">
        <v>3491</v>
      </c>
      <c r="K1195" s="67">
        <v>26024.0</v>
      </c>
      <c r="L1195" s="42"/>
      <c r="M1195" s="42"/>
      <c r="N1195" s="42"/>
      <c r="O1195" s="42"/>
      <c r="P1195" s="42"/>
      <c r="Q1195" s="42"/>
      <c r="R1195" s="42"/>
      <c r="S1195" s="42"/>
      <c r="T1195" s="42"/>
      <c r="U1195" s="42"/>
      <c r="V1195" s="42"/>
      <c r="W1195" s="42"/>
      <c r="X1195" s="42"/>
      <c r="Y1195" s="42"/>
      <c r="Z1195" s="42"/>
    </row>
    <row r="1196" ht="114.0" customHeight="1">
      <c r="A1196" s="57" t="s">
        <v>3366</v>
      </c>
      <c r="B1196" s="57" t="s">
        <v>215</v>
      </c>
      <c r="C1196" s="57" t="s">
        <v>3492</v>
      </c>
      <c r="D1196" s="57" t="s">
        <v>3493</v>
      </c>
      <c r="E1196" s="57"/>
      <c r="F1196" s="58">
        <v>825000.0</v>
      </c>
      <c r="G1196" s="57" t="s">
        <v>512</v>
      </c>
      <c r="H1196" s="59" t="s">
        <v>952</v>
      </c>
      <c r="I1196" s="59" t="s">
        <v>953</v>
      </c>
      <c r="J1196" s="61"/>
      <c r="K1196" s="61"/>
      <c r="L1196" s="42"/>
      <c r="M1196" s="42"/>
      <c r="N1196" s="42"/>
      <c r="O1196" s="42"/>
      <c r="P1196" s="42"/>
      <c r="Q1196" s="42"/>
      <c r="R1196" s="42"/>
      <c r="S1196" s="42"/>
      <c r="T1196" s="42"/>
      <c r="U1196" s="42"/>
      <c r="V1196" s="42"/>
      <c r="W1196" s="42"/>
      <c r="X1196" s="42"/>
      <c r="Y1196" s="42"/>
      <c r="Z1196" s="42"/>
    </row>
    <row r="1197" ht="114.0" customHeight="1">
      <c r="A1197" s="57" t="s">
        <v>3366</v>
      </c>
      <c r="B1197" s="57" t="s">
        <v>215</v>
      </c>
      <c r="C1197" s="57" t="s">
        <v>3494</v>
      </c>
      <c r="D1197" s="57" t="s">
        <v>3495</v>
      </c>
      <c r="E1197" s="57"/>
      <c r="F1197" s="58">
        <v>1282000.0</v>
      </c>
      <c r="G1197" s="57" t="s">
        <v>512</v>
      </c>
      <c r="H1197" s="59" t="s">
        <v>952</v>
      </c>
      <c r="I1197" s="59" t="s">
        <v>953</v>
      </c>
      <c r="J1197" s="61"/>
      <c r="K1197" s="61"/>
      <c r="L1197" s="42"/>
      <c r="M1197" s="42"/>
      <c r="N1197" s="42"/>
      <c r="O1197" s="42"/>
      <c r="P1197" s="42"/>
      <c r="Q1197" s="42"/>
      <c r="R1197" s="42"/>
      <c r="S1197" s="42"/>
      <c r="T1197" s="42"/>
      <c r="U1197" s="42"/>
      <c r="V1197" s="42"/>
      <c r="W1197" s="42"/>
      <c r="X1197" s="42"/>
      <c r="Y1197" s="42"/>
      <c r="Z1197" s="42"/>
    </row>
    <row r="1198" ht="199.5" customHeight="1">
      <c r="A1198" s="57" t="s">
        <v>3366</v>
      </c>
      <c r="B1198" s="57" t="s">
        <v>215</v>
      </c>
      <c r="C1198" s="57" t="s">
        <v>3496</v>
      </c>
      <c r="D1198" s="57" t="s">
        <v>3497</v>
      </c>
      <c r="E1198" s="57"/>
      <c r="F1198" s="58">
        <v>1676000.0</v>
      </c>
      <c r="G1198" s="57" t="s">
        <v>512</v>
      </c>
      <c r="H1198" s="59" t="s">
        <v>952</v>
      </c>
      <c r="I1198" s="59" t="s">
        <v>953</v>
      </c>
      <c r="J1198" s="61"/>
      <c r="K1198" s="61"/>
      <c r="L1198" s="42"/>
      <c r="M1198" s="42"/>
      <c r="N1198" s="42"/>
      <c r="O1198" s="42"/>
      <c r="P1198" s="42"/>
      <c r="Q1198" s="42"/>
      <c r="R1198" s="42"/>
      <c r="S1198" s="42"/>
      <c r="T1198" s="42"/>
      <c r="U1198" s="42"/>
      <c r="V1198" s="42"/>
      <c r="W1198" s="42"/>
      <c r="X1198" s="42"/>
      <c r="Y1198" s="42"/>
      <c r="Z1198" s="42"/>
    </row>
    <row r="1199" ht="142.5" customHeight="1">
      <c r="A1199" s="57" t="s">
        <v>3366</v>
      </c>
      <c r="B1199" s="57" t="s">
        <v>215</v>
      </c>
      <c r="C1199" s="57" t="s">
        <v>3498</v>
      </c>
      <c r="D1199" s="57" t="s">
        <v>3499</v>
      </c>
      <c r="E1199" s="57"/>
      <c r="F1199" s="58">
        <v>2749000.0</v>
      </c>
      <c r="G1199" s="57" t="s">
        <v>512</v>
      </c>
      <c r="H1199" s="59" t="s">
        <v>952</v>
      </c>
      <c r="I1199" s="59" t="s">
        <v>953</v>
      </c>
      <c r="J1199" s="61"/>
      <c r="K1199" s="61"/>
      <c r="L1199" s="42"/>
      <c r="M1199" s="42"/>
      <c r="N1199" s="42"/>
      <c r="O1199" s="42"/>
      <c r="P1199" s="42"/>
      <c r="Q1199" s="42"/>
      <c r="R1199" s="42"/>
      <c r="S1199" s="42"/>
      <c r="T1199" s="42"/>
      <c r="U1199" s="42"/>
      <c r="V1199" s="42"/>
      <c r="W1199" s="42"/>
      <c r="X1199" s="42"/>
      <c r="Y1199" s="42"/>
      <c r="Z1199" s="42"/>
    </row>
    <row r="1200" ht="171.0" customHeight="1">
      <c r="A1200" s="57" t="s">
        <v>3366</v>
      </c>
      <c r="B1200" s="57" t="s">
        <v>215</v>
      </c>
      <c r="C1200" s="57" t="s">
        <v>3500</v>
      </c>
      <c r="D1200" s="57" t="s">
        <v>3501</v>
      </c>
      <c r="E1200" s="57"/>
      <c r="F1200" s="58">
        <v>3761000.0</v>
      </c>
      <c r="G1200" s="57" t="s">
        <v>512</v>
      </c>
      <c r="H1200" s="59" t="s">
        <v>952</v>
      </c>
      <c r="I1200" s="59" t="s">
        <v>953</v>
      </c>
      <c r="J1200" s="61"/>
      <c r="K1200" s="61"/>
      <c r="L1200" s="42"/>
      <c r="M1200" s="42"/>
      <c r="N1200" s="42"/>
      <c r="O1200" s="42"/>
      <c r="P1200" s="42"/>
      <c r="Q1200" s="42"/>
      <c r="R1200" s="42"/>
      <c r="S1200" s="42"/>
      <c r="T1200" s="42"/>
      <c r="U1200" s="42"/>
      <c r="V1200" s="42"/>
      <c r="W1200" s="42"/>
      <c r="X1200" s="42"/>
      <c r="Y1200" s="42"/>
      <c r="Z1200" s="42"/>
    </row>
    <row r="1201" ht="142.5" customHeight="1">
      <c r="A1201" s="57" t="s">
        <v>3366</v>
      </c>
      <c r="B1201" s="57" t="s">
        <v>215</v>
      </c>
      <c r="C1201" s="57" t="s">
        <v>3502</v>
      </c>
      <c r="D1201" s="57" t="s">
        <v>3503</v>
      </c>
      <c r="E1201" s="57"/>
      <c r="F1201" s="58">
        <v>4264000.0</v>
      </c>
      <c r="G1201" s="57" t="s">
        <v>512</v>
      </c>
      <c r="H1201" s="59" t="s">
        <v>952</v>
      </c>
      <c r="I1201" s="59" t="s">
        <v>953</v>
      </c>
      <c r="J1201" s="61"/>
      <c r="K1201" s="61"/>
      <c r="L1201" s="42"/>
      <c r="M1201" s="42"/>
      <c r="N1201" s="42"/>
      <c r="O1201" s="42"/>
      <c r="P1201" s="42"/>
      <c r="Q1201" s="42"/>
      <c r="R1201" s="42"/>
      <c r="S1201" s="42"/>
      <c r="T1201" s="42"/>
      <c r="U1201" s="42"/>
      <c r="V1201" s="42"/>
      <c r="W1201" s="42"/>
      <c r="X1201" s="42"/>
      <c r="Y1201" s="42"/>
      <c r="Z1201" s="42"/>
    </row>
    <row r="1202" ht="114.0" customHeight="1">
      <c r="A1202" s="57" t="s">
        <v>3366</v>
      </c>
      <c r="B1202" s="57" t="s">
        <v>215</v>
      </c>
      <c r="C1202" s="57" t="s">
        <v>3504</v>
      </c>
      <c r="D1202" s="57" t="s">
        <v>3505</v>
      </c>
      <c r="E1202" s="57" t="s">
        <v>3506</v>
      </c>
      <c r="F1202" s="58">
        <v>2500000.0</v>
      </c>
      <c r="G1202" s="57" t="s">
        <v>512</v>
      </c>
      <c r="H1202" s="59" t="s">
        <v>594</v>
      </c>
      <c r="I1202" s="59" t="s">
        <v>3393</v>
      </c>
      <c r="J1202" s="61" t="s">
        <v>3507</v>
      </c>
      <c r="K1202" s="67">
        <v>26604.0</v>
      </c>
      <c r="L1202" s="42"/>
      <c r="M1202" s="42"/>
      <c r="N1202" s="42"/>
      <c r="O1202" s="42"/>
      <c r="P1202" s="42"/>
      <c r="Q1202" s="42"/>
      <c r="R1202" s="42"/>
      <c r="S1202" s="42"/>
      <c r="T1202" s="42"/>
      <c r="U1202" s="42"/>
      <c r="V1202" s="42"/>
      <c r="W1202" s="42"/>
      <c r="X1202" s="42"/>
      <c r="Y1202" s="42"/>
      <c r="Z1202" s="42"/>
    </row>
    <row r="1203" ht="57.0" customHeight="1">
      <c r="A1203" s="57" t="s">
        <v>3366</v>
      </c>
      <c r="B1203" s="57" t="s">
        <v>215</v>
      </c>
      <c r="C1203" s="57" t="s">
        <v>3508</v>
      </c>
      <c r="D1203" s="57" t="s">
        <v>3509</v>
      </c>
      <c r="E1203" s="57"/>
      <c r="F1203" s="58">
        <v>50300.0</v>
      </c>
      <c r="G1203" s="57" t="s">
        <v>467</v>
      </c>
      <c r="H1203" s="59" t="s">
        <v>594</v>
      </c>
      <c r="I1203" s="59" t="s">
        <v>3510</v>
      </c>
      <c r="J1203" s="61" t="s">
        <v>3511</v>
      </c>
      <c r="K1203" s="67">
        <v>25842.0</v>
      </c>
      <c r="L1203" s="42"/>
      <c r="M1203" s="42"/>
      <c r="N1203" s="42"/>
      <c r="O1203" s="42"/>
      <c r="P1203" s="42"/>
      <c r="Q1203" s="42"/>
      <c r="R1203" s="42"/>
      <c r="S1203" s="42"/>
      <c r="T1203" s="42"/>
      <c r="U1203" s="42"/>
      <c r="V1203" s="42"/>
      <c r="W1203" s="42"/>
      <c r="X1203" s="42"/>
      <c r="Y1203" s="42"/>
      <c r="Z1203" s="42"/>
    </row>
    <row r="1204" ht="57.0" customHeight="1">
      <c r="A1204" s="57" t="s">
        <v>3366</v>
      </c>
      <c r="B1204" s="57" t="s">
        <v>215</v>
      </c>
      <c r="C1204" s="57" t="s">
        <v>3512</v>
      </c>
      <c r="D1204" s="57" t="s">
        <v>3513</v>
      </c>
      <c r="E1204" s="57"/>
      <c r="F1204" s="58">
        <v>70000.0</v>
      </c>
      <c r="G1204" s="57" t="s">
        <v>467</v>
      </c>
      <c r="H1204" s="59" t="s">
        <v>594</v>
      </c>
      <c r="I1204" s="59" t="s">
        <v>3514</v>
      </c>
      <c r="J1204" s="61" t="s">
        <v>3515</v>
      </c>
      <c r="K1204" s="67">
        <v>25842.0</v>
      </c>
      <c r="L1204" s="42"/>
      <c r="M1204" s="42"/>
      <c r="N1204" s="42"/>
      <c r="O1204" s="42"/>
      <c r="P1204" s="42"/>
      <c r="Q1204" s="42"/>
      <c r="R1204" s="42"/>
      <c r="S1204" s="42"/>
      <c r="T1204" s="42"/>
      <c r="U1204" s="42"/>
      <c r="V1204" s="42"/>
      <c r="W1204" s="42"/>
      <c r="X1204" s="42"/>
      <c r="Y1204" s="42"/>
      <c r="Z1204" s="42"/>
    </row>
    <row r="1205" ht="57.0" customHeight="1">
      <c r="A1205" s="57" t="s">
        <v>3366</v>
      </c>
      <c r="B1205" s="57" t="s">
        <v>215</v>
      </c>
      <c r="C1205" s="57" t="s">
        <v>3516</v>
      </c>
      <c r="D1205" s="57" t="s">
        <v>3517</v>
      </c>
      <c r="E1205" s="57"/>
      <c r="F1205" s="58">
        <v>82000.0</v>
      </c>
      <c r="G1205" s="57" t="s">
        <v>467</v>
      </c>
      <c r="H1205" s="59" t="s">
        <v>594</v>
      </c>
      <c r="I1205" s="59" t="s">
        <v>3514</v>
      </c>
      <c r="J1205" s="61" t="s">
        <v>3515</v>
      </c>
      <c r="K1205" s="67">
        <v>25842.0</v>
      </c>
      <c r="L1205" s="42"/>
      <c r="M1205" s="42"/>
      <c r="N1205" s="42"/>
      <c r="O1205" s="42"/>
      <c r="P1205" s="42"/>
      <c r="Q1205" s="42"/>
      <c r="R1205" s="42"/>
      <c r="S1205" s="42"/>
      <c r="T1205" s="42"/>
      <c r="U1205" s="42"/>
      <c r="V1205" s="42"/>
      <c r="W1205" s="42"/>
      <c r="X1205" s="42"/>
      <c r="Y1205" s="42"/>
      <c r="Z1205" s="42"/>
    </row>
    <row r="1206" ht="114.0" customHeight="1">
      <c r="A1206" s="57" t="s">
        <v>3366</v>
      </c>
      <c r="B1206" s="57" t="s">
        <v>215</v>
      </c>
      <c r="C1206" s="57" t="s">
        <v>3518</v>
      </c>
      <c r="D1206" s="57" t="s">
        <v>3519</v>
      </c>
      <c r="E1206" s="57"/>
      <c r="F1206" s="58">
        <v>73000.0</v>
      </c>
      <c r="G1206" s="57" t="s">
        <v>467</v>
      </c>
      <c r="H1206" s="59" t="s">
        <v>594</v>
      </c>
      <c r="I1206" s="59" t="s">
        <v>3238</v>
      </c>
      <c r="J1206" s="61" t="s">
        <v>3020</v>
      </c>
      <c r="K1206" s="67">
        <v>26969.0</v>
      </c>
      <c r="L1206" s="42"/>
      <c r="M1206" s="42"/>
      <c r="N1206" s="42"/>
      <c r="O1206" s="42"/>
      <c r="P1206" s="42"/>
      <c r="Q1206" s="42"/>
      <c r="R1206" s="42"/>
      <c r="S1206" s="42"/>
      <c r="T1206" s="42"/>
      <c r="U1206" s="42"/>
      <c r="V1206" s="42"/>
      <c r="W1206" s="42"/>
      <c r="X1206" s="42"/>
      <c r="Y1206" s="42"/>
      <c r="Z1206" s="42"/>
    </row>
    <row r="1207" ht="85.5" customHeight="1">
      <c r="A1207" s="57" t="s">
        <v>3366</v>
      </c>
      <c r="B1207" s="57" t="s">
        <v>215</v>
      </c>
      <c r="C1207" s="57" t="s">
        <v>3520</v>
      </c>
      <c r="D1207" s="57" t="s">
        <v>3521</v>
      </c>
      <c r="E1207" s="57"/>
      <c r="F1207" s="58">
        <v>619000.0</v>
      </c>
      <c r="G1207" s="57" t="s">
        <v>512</v>
      </c>
      <c r="H1207" s="59" t="s">
        <v>952</v>
      </c>
      <c r="I1207" s="59" t="s">
        <v>953</v>
      </c>
      <c r="J1207" s="61"/>
      <c r="K1207" s="61"/>
      <c r="L1207" s="42"/>
      <c r="M1207" s="42"/>
      <c r="N1207" s="42"/>
      <c r="O1207" s="42"/>
      <c r="P1207" s="42"/>
      <c r="Q1207" s="42"/>
      <c r="R1207" s="42"/>
      <c r="S1207" s="42"/>
      <c r="T1207" s="42"/>
      <c r="U1207" s="42"/>
      <c r="V1207" s="42"/>
      <c r="W1207" s="42"/>
      <c r="X1207" s="42"/>
      <c r="Y1207" s="42"/>
      <c r="Z1207" s="42"/>
    </row>
    <row r="1208" ht="114.0" customHeight="1">
      <c r="A1208" s="57" t="s">
        <v>3366</v>
      </c>
      <c r="B1208" s="57" t="s">
        <v>215</v>
      </c>
      <c r="C1208" s="57" t="s">
        <v>3522</v>
      </c>
      <c r="D1208" s="57" t="s">
        <v>3523</v>
      </c>
      <c r="E1208" s="57"/>
      <c r="F1208" s="58">
        <v>969000.0</v>
      </c>
      <c r="G1208" s="57" t="s">
        <v>512</v>
      </c>
      <c r="H1208" s="59" t="s">
        <v>952</v>
      </c>
      <c r="I1208" s="59" t="s">
        <v>953</v>
      </c>
      <c r="J1208" s="61"/>
      <c r="K1208" s="61"/>
      <c r="L1208" s="42"/>
      <c r="M1208" s="42"/>
      <c r="N1208" s="42"/>
      <c r="O1208" s="42"/>
      <c r="P1208" s="42"/>
      <c r="Q1208" s="42"/>
      <c r="R1208" s="42"/>
      <c r="S1208" s="42"/>
      <c r="T1208" s="42"/>
      <c r="U1208" s="42"/>
      <c r="V1208" s="42"/>
      <c r="W1208" s="42"/>
      <c r="X1208" s="42"/>
      <c r="Y1208" s="42"/>
      <c r="Z1208" s="42"/>
    </row>
    <row r="1209" ht="85.5" customHeight="1">
      <c r="A1209" s="57" t="s">
        <v>3366</v>
      </c>
      <c r="B1209" s="57" t="s">
        <v>215</v>
      </c>
      <c r="C1209" s="57" t="s">
        <v>3524</v>
      </c>
      <c r="D1209" s="57" t="s">
        <v>3525</v>
      </c>
      <c r="E1209" s="57"/>
      <c r="F1209" s="58">
        <v>811000.0</v>
      </c>
      <c r="G1209" s="57" t="s">
        <v>512</v>
      </c>
      <c r="H1209" s="59" t="s">
        <v>952</v>
      </c>
      <c r="I1209" s="59" t="s">
        <v>953</v>
      </c>
      <c r="J1209" s="61"/>
      <c r="K1209" s="61"/>
      <c r="L1209" s="42"/>
      <c r="M1209" s="42"/>
      <c r="N1209" s="42"/>
      <c r="O1209" s="42"/>
      <c r="P1209" s="42"/>
      <c r="Q1209" s="42"/>
      <c r="R1209" s="42"/>
      <c r="S1209" s="42"/>
      <c r="T1209" s="42"/>
      <c r="U1209" s="42"/>
      <c r="V1209" s="42"/>
      <c r="W1209" s="42"/>
      <c r="X1209" s="42"/>
      <c r="Y1209" s="42"/>
      <c r="Z1209" s="42"/>
    </row>
    <row r="1210" ht="85.5" customHeight="1">
      <c r="A1210" s="57" t="s">
        <v>3366</v>
      </c>
      <c r="B1210" s="57" t="s">
        <v>215</v>
      </c>
      <c r="C1210" s="57" t="s">
        <v>3526</v>
      </c>
      <c r="D1210" s="57" t="s">
        <v>3527</v>
      </c>
      <c r="E1210" s="57"/>
      <c r="F1210" s="58">
        <v>839000.0</v>
      </c>
      <c r="G1210" s="57" t="s">
        <v>512</v>
      </c>
      <c r="H1210" s="59" t="s">
        <v>952</v>
      </c>
      <c r="I1210" s="59" t="s">
        <v>953</v>
      </c>
      <c r="J1210" s="61"/>
      <c r="K1210" s="61"/>
      <c r="L1210" s="42"/>
      <c r="M1210" s="42"/>
      <c r="N1210" s="42"/>
      <c r="O1210" s="42"/>
      <c r="P1210" s="42"/>
      <c r="Q1210" s="42"/>
      <c r="R1210" s="42"/>
      <c r="S1210" s="42"/>
      <c r="T1210" s="42"/>
      <c r="U1210" s="42"/>
      <c r="V1210" s="42"/>
      <c r="W1210" s="42"/>
      <c r="X1210" s="42"/>
      <c r="Y1210" s="42"/>
      <c r="Z1210" s="42"/>
    </row>
    <row r="1211" ht="85.5" customHeight="1">
      <c r="A1211" s="57" t="s">
        <v>3366</v>
      </c>
      <c r="B1211" s="57" t="s">
        <v>215</v>
      </c>
      <c r="C1211" s="57" t="s">
        <v>3528</v>
      </c>
      <c r="D1211" s="57" t="s">
        <v>3529</v>
      </c>
      <c r="E1211" s="57"/>
      <c r="F1211" s="58">
        <v>747000.0</v>
      </c>
      <c r="G1211" s="57" t="s">
        <v>512</v>
      </c>
      <c r="H1211" s="59" t="s">
        <v>952</v>
      </c>
      <c r="I1211" s="59" t="s">
        <v>953</v>
      </c>
      <c r="J1211" s="61"/>
      <c r="K1211" s="61"/>
      <c r="L1211" s="42"/>
      <c r="M1211" s="42"/>
      <c r="N1211" s="42"/>
      <c r="O1211" s="42"/>
      <c r="P1211" s="42"/>
      <c r="Q1211" s="42"/>
      <c r="R1211" s="42"/>
      <c r="S1211" s="42"/>
      <c r="T1211" s="42"/>
      <c r="U1211" s="42"/>
      <c r="V1211" s="42"/>
      <c r="W1211" s="42"/>
      <c r="X1211" s="42"/>
      <c r="Y1211" s="42"/>
      <c r="Z1211" s="42"/>
    </row>
    <row r="1212" ht="85.5" customHeight="1">
      <c r="A1212" s="57" t="s">
        <v>3366</v>
      </c>
      <c r="B1212" s="57" t="s">
        <v>215</v>
      </c>
      <c r="C1212" s="57" t="s">
        <v>3530</v>
      </c>
      <c r="D1212" s="57" t="s">
        <v>3531</v>
      </c>
      <c r="E1212" s="57"/>
      <c r="F1212" s="58">
        <v>1165000.0</v>
      </c>
      <c r="G1212" s="57" t="s">
        <v>512</v>
      </c>
      <c r="H1212" s="59" t="s">
        <v>952</v>
      </c>
      <c r="I1212" s="59" t="s">
        <v>953</v>
      </c>
      <c r="J1212" s="61"/>
      <c r="K1212" s="61"/>
      <c r="L1212" s="42"/>
      <c r="M1212" s="42"/>
      <c r="N1212" s="42"/>
      <c r="O1212" s="42"/>
      <c r="P1212" s="42"/>
      <c r="Q1212" s="42"/>
      <c r="R1212" s="42"/>
      <c r="S1212" s="42"/>
      <c r="T1212" s="42"/>
      <c r="U1212" s="42"/>
      <c r="V1212" s="42"/>
      <c r="W1212" s="42"/>
      <c r="X1212" s="42"/>
      <c r="Y1212" s="42"/>
      <c r="Z1212" s="42"/>
    </row>
    <row r="1213" ht="85.5" customHeight="1">
      <c r="A1213" s="57" t="s">
        <v>3366</v>
      </c>
      <c r="B1213" s="57" t="s">
        <v>215</v>
      </c>
      <c r="C1213" s="57" t="s">
        <v>3532</v>
      </c>
      <c r="D1213" s="57" t="s">
        <v>3533</v>
      </c>
      <c r="E1213" s="57"/>
      <c r="F1213" s="58">
        <v>58700.0</v>
      </c>
      <c r="G1213" s="57" t="s">
        <v>512</v>
      </c>
      <c r="H1213" s="59" t="s">
        <v>952</v>
      </c>
      <c r="I1213" s="59" t="s">
        <v>953</v>
      </c>
      <c r="J1213" s="61"/>
      <c r="K1213" s="61"/>
      <c r="L1213" s="42"/>
      <c r="M1213" s="42"/>
      <c r="N1213" s="42"/>
      <c r="O1213" s="42"/>
      <c r="P1213" s="42"/>
      <c r="Q1213" s="42"/>
      <c r="R1213" s="42"/>
      <c r="S1213" s="42"/>
      <c r="T1213" s="42"/>
      <c r="U1213" s="42"/>
      <c r="V1213" s="42"/>
      <c r="W1213" s="42"/>
      <c r="X1213" s="42"/>
      <c r="Y1213" s="42"/>
      <c r="Z1213" s="42"/>
    </row>
    <row r="1214" ht="85.5" customHeight="1">
      <c r="A1214" s="57" t="s">
        <v>3366</v>
      </c>
      <c r="B1214" s="57" t="s">
        <v>215</v>
      </c>
      <c r="C1214" s="57" t="s">
        <v>3534</v>
      </c>
      <c r="D1214" s="57" t="s">
        <v>3535</v>
      </c>
      <c r="E1214" s="57"/>
      <c r="F1214" s="58">
        <v>84100.0</v>
      </c>
      <c r="G1214" s="57" t="s">
        <v>512</v>
      </c>
      <c r="H1214" s="59" t="s">
        <v>952</v>
      </c>
      <c r="I1214" s="59" t="s">
        <v>953</v>
      </c>
      <c r="J1214" s="61"/>
      <c r="K1214" s="61"/>
      <c r="L1214" s="42"/>
      <c r="M1214" s="42"/>
      <c r="N1214" s="42"/>
      <c r="O1214" s="42"/>
      <c r="P1214" s="42"/>
      <c r="Q1214" s="42"/>
      <c r="R1214" s="42"/>
      <c r="S1214" s="42"/>
      <c r="T1214" s="42"/>
      <c r="U1214" s="42"/>
      <c r="V1214" s="42"/>
      <c r="W1214" s="42"/>
      <c r="X1214" s="42"/>
      <c r="Y1214" s="42"/>
      <c r="Z1214" s="42"/>
    </row>
    <row r="1215" ht="30.75" customHeight="1">
      <c r="A1215" s="52" t="s">
        <v>3536</v>
      </c>
      <c r="B1215" s="52" t="s">
        <v>220</v>
      </c>
      <c r="C1215" s="52" t="s">
        <v>221</v>
      </c>
      <c r="D1215" s="52" t="s">
        <v>222</v>
      </c>
      <c r="E1215" s="52"/>
      <c r="F1215" s="62"/>
      <c r="G1215" s="52"/>
      <c r="H1215" s="63"/>
      <c r="I1215" s="63"/>
      <c r="J1215" s="54"/>
      <c r="K1215" s="54"/>
      <c r="L1215" s="56"/>
      <c r="M1215" s="56"/>
      <c r="N1215" s="56"/>
      <c r="O1215" s="56"/>
      <c r="P1215" s="56"/>
      <c r="Q1215" s="56"/>
      <c r="R1215" s="56"/>
      <c r="S1215" s="56"/>
      <c r="T1215" s="56"/>
      <c r="U1215" s="56"/>
      <c r="V1215" s="56"/>
      <c r="W1215" s="56"/>
      <c r="X1215" s="56"/>
      <c r="Y1215" s="56"/>
      <c r="Z1215" s="56"/>
    </row>
    <row r="1216" ht="85.5" customHeight="1">
      <c r="A1216" s="57" t="s">
        <v>3536</v>
      </c>
      <c r="B1216" s="57" t="s">
        <v>220</v>
      </c>
      <c r="C1216" s="57" t="s">
        <v>3537</v>
      </c>
      <c r="D1216" s="57" t="s">
        <v>3538</v>
      </c>
      <c r="E1216" s="57" t="s">
        <v>3539</v>
      </c>
      <c r="F1216" s="58">
        <v>17500.0</v>
      </c>
      <c r="G1216" s="57" t="s">
        <v>467</v>
      </c>
      <c r="H1216" s="59" t="s">
        <v>594</v>
      </c>
      <c r="I1216" s="59" t="s">
        <v>2910</v>
      </c>
      <c r="J1216" s="61" t="s">
        <v>3540</v>
      </c>
      <c r="K1216" s="67">
        <v>25294.0</v>
      </c>
      <c r="L1216" s="42"/>
      <c r="M1216" s="42"/>
      <c r="N1216" s="42"/>
      <c r="O1216" s="42"/>
      <c r="P1216" s="42"/>
      <c r="Q1216" s="42"/>
      <c r="R1216" s="42"/>
      <c r="S1216" s="42"/>
      <c r="T1216" s="42"/>
      <c r="U1216" s="42"/>
      <c r="V1216" s="42"/>
      <c r="W1216" s="42"/>
      <c r="X1216" s="42"/>
      <c r="Y1216" s="42"/>
      <c r="Z1216" s="42"/>
    </row>
    <row r="1217" ht="85.5" customHeight="1">
      <c r="A1217" s="57" t="s">
        <v>3536</v>
      </c>
      <c r="B1217" s="57" t="s">
        <v>220</v>
      </c>
      <c r="C1217" s="57" t="s">
        <v>3541</v>
      </c>
      <c r="D1217" s="57" t="s">
        <v>3542</v>
      </c>
      <c r="E1217" s="57" t="s">
        <v>3543</v>
      </c>
      <c r="F1217" s="58">
        <v>36000.0</v>
      </c>
      <c r="G1217" s="57" t="s">
        <v>512</v>
      </c>
      <c r="H1217" s="59" t="s">
        <v>594</v>
      </c>
      <c r="I1217" s="59" t="s">
        <v>3544</v>
      </c>
      <c r="J1217" s="61" t="s">
        <v>3545</v>
      </c>
      <c r="K1217" s="67">
        <v>25355.0</v>
      </c>
      <c r="L1217" s="42"/>
      <c r="M1217" s="42"/>
      <c r="N1217" s="42"/>
      <c r="O1217" s="42"/>
      <c r="P1217" s="42"/>
      <c r="Q1217" s="42"/>
      <c r="R1217" s="42"/>
      <c r="S1217" s="42"/>
      <c r="T1217" s="42"/>
      <c r="U1217" s="42"/>
      <c r="V1217" s="42"/>
      <c r="W1217" s="42"/>
      <c r="X1217" s="42"/>
      <c r="Y1217" s="42"/>
      <c r="Z1217" s="42"/>
    </row>
    <row r="1218" ht="85.5" customHeight="1">
      <c r="A1218" s="57" t="s">
        <v>3536</v>
      </c>
      <c r="B1218" s="57" t="s">
        <v>220</v>
      </c>
      <c r="C1218" s="57" t="s">
        <v>3546</v>
      </c>
      <c r="D1218" s="57" t="s">
        <v>3547</v>
      </c>
      <c r="E1218" s="57" t="s">
        <v>3548</v>
      </c>
      <c r="F1218" s="58">
        <v>3700000.0</v>
      </c>
      <c r="G1218" s="57" t="s">
        <v>251</v>
      </c>
      <c r="H1218" s="59" t="s">
        <v>594</v>
      </c>
      <c r="I1218" s="59" t="s">
        <v>3549</v>
      </c>
      <c r="J1218" s="61" t="s">
        <v>3550</v>
      </c>
      <c r="K1218" s="67">
        <v>25385.0</v>
      </c>
      <c r="L1218" s="42"/>
      <c r="M1218" s="42"/>
      <c r="N1218" s="42"/>
      <c r="O1218" s="42"/>
      <c r="P1218" s="42"/>
      <c r="Q1218" s="42"/>
      <c r="R1218" s="42"/>
      <c r="S1218" s="42"/>
      <c r="T1218" s="42"/>
      <c r="U1218" s="42"/>
      <c r="V1218" s="42"/>
      <c r="W1218" s="42"/>
      <c r="X1218" s="42"/>
      <c r="Y1218" s="42"/>
      <c r="Z1218" s="42"/>
    </row>
    <row r="1219" ht="85.5" customHeight="1">
      <c r="A1219" s="57" t="s">
        <v>3536</v>
      </c>
      <c r="B1219" s="57" t="s">
        <v>220</v>
      </c>
      <c r="C1219" s="57" t="s">
        <v>3551</v>
      </c>
      <c r="D1219" s="57" t="s">
        <v>3552</v>
      </c>
      <c r="E1219" s="57" t="s">
        <v>3553</v>
      </c>
      <c r="F1219" s="58">
        <v>4400000.0</v>
      </c>
      <c r="G1219" s="57" t="s">
        <v>251</v>
      </c>
      <c r="H1219" s="59" t="s">
        <v>594</v>
      </c>
      <c r="I1219" s="59" t="s">
        <v>3554</v>
      </c>
      <c r="J1219" s="61" t="s">
        <v>3555</v>
      </c>
      <c r="K1219" s="67">
        <v>26238.0</v>
      </c>
      <c r="L1219" s="42"/>
      <c r="M1219" s="42"/>
      <c r="N1219" s="42"/>
      <c r="O1219" s="42"/>
      <c r="P1219" s="42"/>
      <c r="Q1219" s="42"/>
      <c r="R1219" s="42"/>
      <c r="S1219" s="42"/>
      <c r="T1219" s="42"/>
      <c r="U1219" s="42"/>
      <c r="V1219" s="42"/>
      <c r="W1219" s="42"/>
      <c r="X1219" s="42"/>
      <c r="Y1219" s="42"/>
      <c r="Z1219" s="42"/>
    </row>
    <row r="1220" ht="85.5" customHeight="1">
      <c r="A1220" s="57" t="s">
        <v>3536</v>
      </c>
      <c r="B1220" s="57" t="s">
        <v>220</v>
      </c>
      <c r="C1220" s="57" t="s">
        <v>3556</v>
      </c>
      <c r="D1220" s="57" t="s">
        <v>3557</v>
      </c>
      <c r="E1220" s="57" t="s">
        <v>3558</v>
      </c>
      <c r="F1220" s="58">
        <v>9700.0</v>
      </c>
      <c r="G1220" s="57" t="s">
        <v>467</v>
      </c>
      <c r="H1220" s="59" t="s">
        <v>594</v>
      </c>
      <c r="I1220" s="59" t="s">
        <v>3559</v>
      </c>
      <c r="J1220" s="61" t="s">
        <v>3560</v>
      </c>
      <c r="K1220" s="67">
        <v>25600.0</v>
      </c>
      <c r="L1220" s="42"/>
      <c r="M1220" s="42"/>
      <c r="N1220" s="42"/>
      <c r="O1220" s="42"/>
      <c r="P1220" s="42"/>
      <c r="Q1220" s="42"/>
      <c r="R1220" s="42"/>
      <c r="S1220" s="42"/>
      <c r="T1220" s="42"/>
      <c r="U1220" s="42"/>
      <c r="V1220" s="42"/>
      <c r="W1220" s="42"/>
      <c r="X1220" s="42"/>
      <c r="Y1220" s="42"/>
      <c r="Z1220" s="42"/>
    </row>
    <row r="1221" ht="85.5" customHeight="1">
      <c r="A1221" s="57" t="s">
        <v>3536</v>
      </c>
      <c r="B1221" s="57" t="s">
        <v>220</v>
      </c>
      <c r="C1221" s="57" t="s">
        <v>3561</v>
      </c>
      <c r="D1221" s="57" t="s">
        <v>3562</v>
      </c>
      <c r="E1221" s="57" t="s">
        <v>3563</v>
      </c>
      <c r="F1221" s="58">
        <v>470000.0</v>
      </c>
      <c r="G1221" s="57" t="s">
        <v>251</v>
      </c>
      <c r="H1221" s="59" t="s">
        <v>594</v>
      </c>
      <c r="I1221" s="59" t="s">
        <v>3564</v>
      </c>
      <c r="J1221" s="61" t="s">
        <v>3565</v>
      </c>
      <c r="K1221" s="67">
        <v>26481.0</v>
      </c>
      <c r="L1221" s="42"/>
      <c r="M1221" s="42"/>
      <c r="N1221" s="42"/>
      <c r="O1221" s="42"/>
      <c r="P1221" s="42"/>
      <c r="Q1221" s="42"/>
      <c r="R1221" s="42"/>
      <c r="S1221" s="42"/>
      <c r="T1221" s="42"/>
      <c r="U1221" s="42"/>
      <c r="V1221" s="42"/>
      <c r="W1221" s="42"/>
      <c r="X1221" s="42"/>
      <c r="Y1221" s="42"/>
      <c r="Z1221" s="42"/>
    </row>
    <row r="1222" ht="85.5" customHeight="1">
      <c r="A1222" s="57" t="s">
        <v>3536</v>
      </c>
      <c r="B1222" s="57" t="s">
        <v>220</v>
      </c>
      <c r="C1222" s="57" t="s">
        <v>3566</v>
      </c>
      <c r="D1222" s="57" t="s">
        <v>3567</v>
      </c>
      <c r="E1222" s="57"/>
      <c r="F1222" s="58">
        <v>63000.0</v>
      </c>
      <c r="G1222" s="57" t="s">
        <v>251</v>
      </c>
      <c r="H1222" s="59" t="s">
        <v>594</v>
      </c>
      <c r="I1222" s="59" t="s">
        <v>3568</v>
      </c>
      <c r="J1222" s="61" t="s">
        <v>2999</v>
      </c>
      <c r="K1222" s="67">
        <v>26573.0</v>
      </c>
      <c r="L1222" s="42"/>
      <c r="M1222" s="42"/>
      <c r="N1222" s="42"/>
      <c r="O1222" s="42"/>
      <c r="P1222" s="42"/>
      <c r="Q1222" s="42"/>
      <c r="R1222" s="42"/>
      <c r="S1222" s="42"/>
      <c r="T1222" s="42"/>
      <c r="U1222" s="42"/>
      <c r="V1222" s="42"/>
      <c r="W1222" s="42"/>
      <c r="X1222" s="42"/>
      <c r="Y1222" s="42"/>
      <c r="Z1222" s="42"/>
    </row>
    <row r="1223" ht="85.5" customHeight="1">
      <c r="A1223" s="57" t="s">
        <v>3536</v>
      </c>
      <c r="B1223" s="57" t="s">
        <v>220</v>
      </c>
      <c r="C1223" s="57" t="s">
        <v>3569</v>
      </c>
      <c r="D1223" s="57" t="s">
        <v>3570</v>
      </c>
      <c r="E1223" s="57"/>
      <c r="F1223" s="58">
        <v>80000.0</v>
      </c>
      <c r="G1223" s="57" t="s">
        <v>251</v>
      </c>
      <c r="H1223" s="59" t="s">
        <v>594</v>
      </c>
      <c r="I1223" s="59" t="s">
        <v>3568</v>
      </c>
      <c r="J1223" s="61" t="s">
        <v>2999</v>
      </c>
      <c r="K1223" s="67">
        <v>26573.0</v>
      </c>
      <c r="L1223" s="42"/>
      <c r="M1223" s="42"/>
      <c r="N1223" s="42"/>
      <c r="O1223" s="42"/>
      <c r="P1223" s="42"/>
      <c r="Q1223" s="42"/>
      <c r="R1223" s="42"/>
      <c r="S1223" s="42"/>
      <c r="T1223" s="42"/>
      <c r="U1223" s="42"/>
      <c r="V1223" s="42"/>
      <c r="W1223" s="42"/>
      <c r="X1223" s="42"/>
      <c r="Y1223" s="42"/>
      <c r="Z1223" s="42"/>
    </row>
    <row r="1224" ht="85.5" customHeight="1">
      <c r="A1224" s="57" t="s">
        <v>3536</v>
      </c>
      <c r="B1224" s="57" t="s">
        <v>220</v>
      </c>
      <c r="C1224" s="57" t="s">
        <v>3571</v>
      </c>
      <c r="D1224" s="57" t="s">
        <v>3572</v>
      </c>
      <c r="E1224" s="57"/>
      <c r="F1224" s="58">
        <v>86600.0</v>
      </c>
      <c r="G1224" s="57" t="s">
        <v>251</v>
      </c>
      <c r="H1224" s="59" t="s">
        <v>952</v>
      </c>
      <c r="I1224" s="59" t="s">
        <v>953</v>
      </c>
      <c r="J1224" s="61"/>
      <c r="K1224" s="61"/>
      <c r="L1224" s="42"/>
      <c r="M1224" s="42"/>
      <c r="N1224" s="42"/>
      <c r="O1224" s="42"/>
      <c r="P1224" s="42"/>
      <c r="Q1224" s="42"/>
      <c r="R1224" s="42"/>
      <c r="S1224" s="42"/>
      <c r="T1224" s="42"/>
      <c r="U1224" s="42"/>
      <c r="V1224" s="42"/>
      <c r="W1224" s="42"/>
      <c r="X1224" s="42"/>
      <c r="Y1224" s="42"/>
      <c r="Z1224" s="42"/>
    </row>
    <row r="1225" ht="85.5" customHeight="1">
      <c r="A1225" s="57" t="s">
        <v>3536</v>
      </c>
      <c r="B1225" s="57" t="s">
        <v>220</v>
      </c>
      <c r="C1225" s="57" t="s">
        <v>3573</v>
      </c>
      <c r="D1225" s="57" t="s">
        <v>3574</v>
      </c>
      <c r="E1225" s="57"/>
      <c r="F1225" s="58">
        <v>91000.0</v>
      </c>
      <c r="G1225" s="57" t="s">
        <v>251</v>
      </c>
      <c r="H1225" s="59" t="s">
        <v>952</v>
      </c>
      <c r="I1225" s="59" t="s">
        <v>953</v>
      </c>
      <c r="J1225" s="61"/>
      <c r="K1225" s="61"/>
      <c r="L1225" s="42"/>
      <c r="M1225" s="42"/>
      <c r="N1225" s="42"/>
      <c r="O1225" s="42"/>
      <c r="P1225" s="42"/>
      <c r="Q1225" s="42"/>
      <c r="R1225" s="42"/>
      <c r="S1225" s="42"/>
      <c r="T1225" s="42"/>
      <c r="U1225" s="42"/>
      <c r="V1225" s="42"/>
      <c r="W1225" s="42"/>
      <c r="X1225" s="42"/>
      <c r="Y1225" s="42"/>
      <c r="Z1225" s="42"/>
    </row>
    <row r="1226" ht="85.5" customHeight="1">
      <c r="A1226" s="57" t="s">
        <v>3536</v>
      </c>
      <c r="B1226" s="57" t="s">
        <v>220</v>
      </c>
      <c r="C1226" s="57" t="s">
        <v>3575</v>
      </c>
      <c r="D1226" s="57" t="s">
        <v>3576</v>
      </c>
      <c r="E1226" s="57"/>
      <c r="F1226" s="58">
        <v>542000.0</v>
      </c>
      <c r="G1226" s="57" t="s">
        <v>251</v>
      </c>
      <c r="H1226" s="59" t="s">
        <v>952</v>
      </c>
      <c r="I1226" s="59" t="s">
        <v>953</v>
      </c>
      <c r="J1226" s="61"/>
      <c r="K1226" s="61"/>
      <c r="L1226" s="42"/>
      <c r="M1226" s="42"/>
      <c r="N1226" s="42"/>
      <c r="O1226" s="42"/>
      <c r="P1226" s="42"/>
      <c r="Q1226" s="42"/>
      <c r="R1226" s="42"/>
      <c r="S1226" s="42"/>
      <c r="T1226" s="42"/>
      <c r="U1226" s="42"/>
      <c r="V1226" s="42"/>
      <c r="W1226" s="42"/>
      <c r="X1226" s="42"/>
      <c r="Y1226" s="42"/>
      <c r="Z1226" s="42"/>
    </row>
    <row r="1227" ht="85.5" customHeight="1">
      <c r="A1227" s="57" t="s">
        <v>3536</v>
      </c>
      <c r="B1227" s="57" t="s">
        <v>220</v>
      </c>
      <c r="C1227" s="57" t="s">
        <v>3577</v>
      </c>
      <c r="D1227" s="57" t="s">
        <v>3578</v>
      </c>
      <c r="E1227" s="57"/>
      <c r="F1227" s="58">
        <v>937000.0</v>
      </c>
      <c r="G1227" s="57" t="s">
        <v>251</v>
      </c>
      <c r="H1227" s="59" t="s">
        <v>952</v>
      </c>
      <c r="I1227" s="59" t="s">
        <v>953</v>
      </c>
      <c r="J1227" s="61"/>
      <c r="K1227" s="61"/>
      <c r="L1227" s="42"/>
      <c r="M1227" s="42"/>
      <c r="N1227" s="42"/>
      <c r="O1227" s="42"/>
      <c r="P1227" s="42"/>
      <c r="Q1227" s="42"/>
      <c r="R1227" s="42"/>
      <c r="S1227" s="42"/>
      <c r="T1227" s="42"/>
      <c r="U1227" s="42"/>
      <c r="V1227" s="42"/>
      <c r="W1227" s="42"/>
      <c r="X1227" s="42"/>
      <c r="Y1227" s="42"/>
      <c r="Z1227" s="42"/>
    </row>
    <row r="1228" ht="30.75" customHeight="1">
      <c r="A1228" s="57" t="s">
        <v>3536</v>
      </c>
      <c r="B1228" s="57" t="s">
        <v>220</v>
      </c>
      <c r="C1228" s="57" t="s">
        <v>3579</v>
      </c>
      <c r="D1228" s="57" t="s">
        <v>3580</v>
      </c>
      <c r="E1228" s="57" t="s">
        <v>3581</v>
      </c>
      <c r="F1228" s="58">
        <v>10800.0</v>
      </c>
      <c r="G1228" s="57" t="s">
        <v>1289</v>
      </c>
      <c r="H1228" s="59" t="s">
        <v>952</v>
      </c>
      <c r="I1228" s="59" t="s">
        <v>953</v>
      </c>
      <c r="J1228" s="61"/>
      <c r="K1228" s="61"/>
      <c r="L1228" s="42"/>
      <c r="M1228" s="42"/>
      <c r="N1228" s="42"/>
      <c r="O1228" s="42"/>
      <c r="P1228" s="42"/>
      <c r="Q1228" s="42"/>
      <c r="R1228" s="42"/>
      <c r="S1228" s="42"/>
      <c r="T1228" s="42"/>
      <c r="U1228" s="42"/>
      <c r="V1228" s="42"/>
      <c r="W1228" s="42"/>
      <c r="X1228" s="42"/>
      <c r="Y1228" s="42"/>
      <c r="Z1228" s="42"/>
    </row>
    <row r="1229" ht="30.75" customHeight="1">
      <c r="A1229" s="57" t="s">
        <v>3536</v>
      </c>
      <c r="B1229" s="57" t="s">
        <v>220</v>
      </c>
      <c r="C1229" s="57" t="s">
        <v>3582</v>
      </c>
      <c r="D1229" s="57" t="s">
        <v>3583</v>
      </c>
      <c r="E1229" s="57" t="s">
        <v>1288</v>
      </c>
      <c r="F1229" s="58">
        <v>30000.0</v>
      </c>
      <c r="G1229" s="57" t="s">
        <v>1289</v>
      </c>
      <c r="H1229" s="59" t="s">
        <v>952</v>
      </c>
      <c r="I1229" s="59" t="s">
        <v>953</v>
      </c>
      <c r="J1229" s="61"/>
      <c r="K1229" s="61"/>
      <c r="L1229" s="42"/>
      <c r="M1229" s="42"/>
      <c r="N1229" s="42"/>
      <c r="O1229" s="42"/>
      <c r="P1229" s="42"/>
      <c r="Q1229" s="42"/>
      <c r="R1229" s="42"/>
      <c r="S1229" s="42"/>
      <c r="T1229" s="42"/>
      <c r="U1229" s="42"/>
      <c r="V1229" s="42"/>
      <c r="W1229" s="42"/>
      <c r="X1229" s="42"/>
      <c r="Y1229" s="42"/>
      <c r="Z1229" s="42"/>
    </row>
    <row r="1230" ht="30.75" customHeight="1">
      <c r="A1230" s="57" t="s">
        <v>3536</v>
      </c>
      <c r="B1230" s="57" t="s">
        <v>220</v>
      </c>
      <c r="C1230" s="57" t="s">
        <v>3584</v>
      </c>
      <c r="D1230" s="57" t="s">
        <v>3585</v>
      </c>
      <c r="E1230" s="57"/>
      <c r="F1230" s="58">
        <v>20000.0</v>
      </c>
      <c r="G1230" s="57" t="s">
        <v>251</v>
      </c>
      <c r="H1230" s="59" t="s">
        <v>952</v>
      </c>
      <c r="I1230" s="59" t="s">
        <v>953</v>
      </c>
      <c r="J1230" s="61"/>
      <c r="K1230" s="61"/>
      <c r="L1230" s="42"/>
      <c r="M1230" s="42"/>
      <c r="N1230" s="42"/>
      <c r="O1230" s="42"/>
      <c r="P1230" s="42"/>
      <c r="Q1230" s="42"/>
      <c r="R1230" s="42"/>
      <c r="S1230" s="42"/>
      <c r="T1230" s="42"/>
      <c r="U1230" s="42"/>
      <c r="V1230" s="42"/>
      <c r="W1230" s="42"/>
      <c r="X1230" s="42"/>
      <c r="Y1230" s="42"/>
      <c r="Z1230" s="42"/>
    </row>
    <row r="1231" ht="30.75" customHeight="1">
      <c r="A1231" s="57" t="s">
        <v>3536</v>
      </c>
      <c r="B1231" s="57" t="s">
        <v>220</v>
      </c>
      <c r="C1231" s="57" t="s">
        <v>3586</v>
      </c>
      <c r="D1231" s="57" t="s">
        <v>3587</v>
      </c>
      <c r="E1231" s="57"/>
      <c r="F1231" s="58">
        <v>250000.0</v>
      </c>
      <c r="G1231" s="57" t="s">
        <v>467</v>
      </c>
      <c r="H1231" s="59" t="s">
        <v>252</v>
      </c>
      <c r="I1231" s="59" t="s">
        <v>272</v>
      </c>
      <c r="J1231" s="61"/>
      <c r="K1231" s="61"/>
      <c r="L1231" s="42"/>
      <c r="M1231" s="42"/>
      <c r="N1231" s="42"/>
      <c r="O1231" s="42"/>
      <c r="P1231" s="42"/>
      <c r="Q1231" s="42"/>
      <c r="R1231" s="42"/>
      <c r="S1231" s="42"/>
      <c r="T1231" s="42"/>
      <c r="U1231" s="42"/>
      <c r="V1231" s="42"/>
      <c r="W1231" s="42"/>
      <c r="X1231" s="42"/>
      <c r="Y1231" s="42"/>
      <c r="Z1231" s="42"/>
    </row>
    <row r="1232" ht="30.75" customHeight="1">
      <c r="A1232" s="57" t="s">
        <v>3536</v>
      </c>
      <c r="B1232" s="57" t="s">
        <v>220</v>
      </c>
      <c r="C1232" s="57" t="s">
        <v>3588</v>
      </c>
      <c r="D1232" s="57" t="s">
        <v>3589</v>
      </c>
      <c r="E1232" s="57"/>
      <c r="F1232" s="58">
        <v>200000.0</v>
      </c>
      <c r="G1232" s="57" t="s">
        <v>467</v>
      </c>
      <c r="H1232" s="59" t="s">
        <v>252</v>
      </c>
      <c r="I1232" s="59" t="s">
        <v>272</v>
      </c>
      <c r="J1232" s="61"/>
      <c r="K1232" s="61"/>
      <c r="L1232" s="42"/>
      <c r="M1232" s="42"/>
      <c r="N1232" s="42"/>
      <c r="O1232" s="42"/>
      <c r="P1232" s="42"/>
      <c r="Q1232" s="42"/>
      <c r="R1232" s="42"/>
      <c r="S1232" s="42"/>
      <c r="T1232" s="42"/>
      <c r="U1232" s="42"/>
      <c r="V1232" s="42"/>
      <c r="W1232" s="42"/>
      <c r="X1232" s="42"/>
      <c r="Y1232" s="42"/>
      <c r="Z1232" s="42"/>
    </row>
    <row r="1233" ht="30.75" customHeight="1">
      <c r="A1233" s="52" t="s">
        <v>3590</v>
      </c>
      <c r="B1233" s="52" t="s">
        <v>224</v>
      </c>
      <c r="C1233" s="52" t="s">
        <v>225</v>
      </c>
      <c r="D1233" s="52" t="s">
        <v>226</v>
      </c>
      <c r="E1233" s="52"/>
      <c r="F1233" s="62"/>
      <c r="G1233" s="52"/>
      <c r="H1233" s="63"/>
      <c r="I1233" s="63"/>
      <c r="J1233" s="54"/>
      <c r="K1233" s="54"/>
      <c r="L1233" s="56"/>
      <c r="M1233" s="56"/>
      <c r="N1233" s="56"/>
      <c r="O1233" s="56"/>
      <c r="P1233" s="56"/>
      <c r="Q1233" s="56"/>
      <c r="R1233" s="56"/>
      <c r="S1233" s="56"/>
      <c r="T1233" s="56"/>
      <c r="U1233" s="56"/>
      <c r="V1233" s="56"/>
      <c r="W1233" s="56"/>
      <c r="X1233" s="56"/>
      <c r="Y1233" s="56"/>
      <c r="Z1233" s="56"/>
    </row>
    <row r="1234" ht="30.75" customHeight="1">
      <c r="A1234" s="57" t="s">
        <v>3590</v>
      </c>
      <c r="B1234" s="57" t="s">
        <v>224</v>
      </c>
      <c r="C1234" s="57" t="s">
        <v>3591</v>
      </c>
      <c r="D1234" s="57" t="s">
        <v>3592</v>
      </c>
      <c r="E1234" s="57" t="s">
        <v>3593</v>
      </c>
      <c r="F1234" s="58">
        <v>13000.0</v>
      </c>
      <c r="G1234" s="57" t="s">
        <v>2387</v>
      </c>
      <c r="H1234" s="59" t="s">
        <v>252</v>
      </c>
      <c r="I1234" s="60" t="s">
        <v>253</v>
      </c>
      <c r="J1234" s="61"/>
      <c r="K1234" s="61"/>
      <c r="L1234" s="42"/>
      <c r="M1234" s="42"/>
      <c r="N1234" s="42"/>
      <c r="O1234" s="42"/>
      <c r="P1234" s="42"/>
      <c r="Q1234" s="42"/>
      <c r="R1234" s="42"/>
      <c r="S1234" s="42"/>
      <c r="T1234" s="42"/>
      <c r="U1234" s="42"/>
      <c r="V1234" s="42"/>
      <c r="W1234" s="42"/>
      <c r="X1234" s="42"/>
      <c r="Y1234" s="42"/>
      <c r="Z1234" s="42"/>
    </row>
    <row r="1235" ht="30.75" customHeight="1">
      <c r="A1235" s="57" t="s">
        <v>3590</v>
      </c>
      <c r="B1235" s="57" t="s">
        <v>224</v>
      </c>
      <c r="C1235" s="57" t="s">
        <v>3594</v>
      </c>
      <c r="D1235" s="57" t="s">
        <v>3595</v>
      </c>
      <c r="E1235" s="57" t="s">
        <v>3596</v>
      </c>
      <c r="F1235" s="58">
        <v>15000.0</v>
      </c>
      <c r="G1235" s="57" t="s">
        <v>2387</v>
      </c>
      <c r="H1235" s="59" t="s">
        <v>252</v>
      </c>
      <c r="I1235" s="60" t="s">
        <v>253</v>
      </c>
      <c r="J1235" s="61"/>
      <c r="K1235" s="61"/>
      <c r="L1235" s="42"/>
      <c r="M1235" s="42"/>
      <c r="N1235" s="42"/>
      <c r="O1235" s="42"/>
      <c r="P1235" s="42"/>
      <c r="Q1235" s="42"/>
      <c r="R1235" s="42"/>
      <c r="S1235" s="42"/>
      <c r="T1235" s="42"/>
      <c r="U1235" s="42"/>
      <c r="V1235" s="42"/>
      <c r="W1235" s="42"/>
      <c r="X1235" s="42"/>
      <c r="Y1235" s="42"/>
      <c r="Z1235" s="42"/>
    </row>
    <row r="1236" ht="30.75" customHeight="1">
      <c r="A1236" s="57" t="s">
        <v>3590</v>
      </c>
      <c r="B1236" s="57" t="s">
        <v>224</v>
      </c>
      <c r="C1236" s="57" t="s">
        <v>3597</v>
      </c>
      <c r="D1236" s="57" t="s">
        <v>3598</v>
      </c>
      <c r="E1236" s="57" t="s">
        <v>3599</v>
      </c>
      <c r="F1236" s="58">
        <v>100000.0</v>
      </c>
      <c r="G1236" s="57" t="s">
        <v>251</v>
      </c>
      <c r="H1236" s="59" t="s">
        <v>252</v>
      </c>
      <c r="I1236" s="60" t="s">
        <v>253</v>
      </c>
      <c r="J1236" s="61"/>
      <c r="K1236" s="61"/>
      <c r="L1236" s="42"/>
      <c r="M1236" s="42"/>
      <c r="N1236" s="42"/>
      <c r="O1236" s="42"/>
      <c r="P1236" s="42"/>
      <c r="Q1236" s="42"/>
      <c r="R1236" s="42"/>
      <c r="S1236" s="42"/>
      <c r="T1236" s="42"/>
      <c r="U1236" s="42"/>
      <c r="V1236" s="42"/>
      <c r="W1236" s="42"/>
      <c r="X1236" s="42"/>
      <c r="Y1236" s="42"/>
      <c r="Z1236" s="42"/>
    </row>
    <row r="1237" ht="30.75" customHeight="1">
      <c r="A1237" s="57" t="s">
        <v>3590</v>
      </c>
      <c r="B1237" s="57" t="s">
        <v>224</v>
      </c>
      <c r="C1237" s="57" t="s">
        <v>3600</v>
      </c>
      <c r="D1237" s="57" t="s">
        <v>3601</v>
      </c>
      <c r="E1237" s="57" t="s">
        <v>3602</v>
      </c>
      <c r="F1237" s="58">
        <v>28000.0</v>
      </c>
      <c r="G1237" s="57" t="s">
        <v>251</v>
      </c>
      <c r="H1237" s="59" t="s">
        <v>252</v>
      </c>
      <c r="I1237" s="60" t="s">
        <v>253</v>
      </c>
      <c r="J1237" s="61"/>
      <c r="K1237" s="61"/>
      <c r="L1237" s="42"/>
      <c r="M1237" s="42"/>
      <c r="N1237" s="42"/>
      <c r="O1237" s="42"/>
      <c r="P1237" s="42"/>
      <c r="Q1237" s="42"/>
      <c r="R1237" s="42"/>
      <c r="S1237" s="42"/>
      <c r="T1237" s="42"/>
      <c r="U1237" s="42"/>
      <c r="V1237" s="42"/>
      <c r="W1237" s="42"/>
      <c r="X1237" s="42"/>
      <c r="Y1237" s="42"/>
      <c r="Z1237" s="42"/>
    </row>
    <row r="1238" ht="57.0" customHeight="1">
      <c r="A1238" s="57" t="s">
        <v>3590</v>
      </c>
      <c r="B1238" s="57" t="s">
        <v>224</v>
      </c>
      <c r="C1238" s="57" t="s">
        <v>3603</v>
      </c>
      <c r="D1238" s="57" t="s">
        <v>3604</v>
      </c>
      <c r="E1238" s="57"/>
      <c r="F1238" s="58">
        <v>92100.0</v>
      </c>
      <c r="G1238" s="57" t="s">
        <v>251</v>
      </c>
      <c r="H1238" s="59" t="s">
        <v>952</v>
      </c>
      <c r="I1238" s="59" t="s">
        <v>953</v>
      </c>
      <c r="J1238" s="61"/>
      <c r="K1238" s="61"/>
      <c r="L1238" s="42"/>
      <c r="M1238" s="42"/>
      <c r="N1238" s="42"/>
      <c r="O1238" s="42"/>
      <c r="P1238" s="42"/>
      <c r="Q1238" s="42"/>
      <c r="R1238" s="42"/>
      <c r="S1238" s="42"/>
      <c r="T1238" s="42"/>
      <c r="U1238" s="42"/>
      <c r="V1238" s="42"/>
      <c r="W1238" s="42"/>
      <c r="X1238" s="42"/>
      <c r="Y1238" s="42"/>
      <c r="Z1238" s="42"/>
    </row>
    <row r="1239" ht="57.0" customHeight="1">
      <c r="A1239" s="57" t="s">
        <v>3590</v>
      </c>
      <c r="B1239" s="57" t="s">
        <v>224</v>
      </c>
      <c r="C1239" s="57" t="s">
        <v>3605</v>
      </c>
      <c r="D1239" s="57" t="s">
        <v>3606</v>
      </c>
      <c r="E1239" s="57"/>
      <c r="F1239" s="58">
        <v>120000.0</v>
      </c>
      <c r="G1239" s="57" t="s">
        <v>251</v>
      </c>
      <c r="H1239" s="59" t="s">
        <v>952</v>
      </c>
      <c r="I1239" s="59" t="s">
        <v>953</v>
      </c>
      <c r="J1239" s="61"/>
      <c r="K1239" s="61"/>
      <c r="L1239" s="42"/>
      <c r="M1239" s="42"/>
      <c r="N1239" s="42"/>
      <c r="O1239" s="42"/>
      <c r="P1239" s="42"/>
      <c r="Q1239" s="42"/>
      <c r="R1239" s="42"/>
      <c r="S1239" s="42"/>
      <c r="T1239" s="42"/>
      <c r="U1239" s="42"/>
      <c r="V1239" s="42"/>
      <c r="W1239" s="42"/>
      <c r="X1239" s="42"/>
      <c r="Y1239" s="42"/>
      <c r="Z1239" s="42"/>
    </row>
    <row r="1240" ht="57.0" customHeight="1">
      <c r="A1240" s="57" t="s">
        <v>3590</v>
      </c>
      <c r="B1240" s="57" t="s">
        <v>224</v>
      </c>
      <c r="C1240" s="57" t="s">
        <v>3607</v>
      </c>
      <c r="D1240" s="57" t="s">
        <v>3608</v>
      </c>
      <c r="E1240" s="57"/>
      <c r="F1240" s="58">
        <v>160000.0</v>
      </c>
      <c r="G1240" s="57" t="s">
        <v>251</v>
      </c>
      <c r="H1240" s="59" t="s">
        <v>952</v>
      </c>
      <c r="I1240" s="59" t="s">
        <v>953</v>
      </c>
      <c r="J1240" s="61"/>
      <c r="K1240" s="61"/>
      <c r="L1240" s="42"/>
      <c r="M1240" s="42"/>
      <c r="N1240" s="42"/>
      <c r="O1240" s="42"/>
      <c r="P1240" s="42"/>
      <c r="Q1240" s="42"/>
      <c r="R1240" s="42"/>
      <c r="S1240" s="42"/>
      <c r="T1240" s="42"/>
      <c r="U1240" s="42"/>
      <c r="V1240" s="42"/>
      <c r="W1240" s="42"/>
      <c r="X1240" s="42"/>
      <c r="Y1240" s="42"/>
      <c r="Z1240" s="42"/>
    </row>
    <row r="1241" ht="57.0" customHeight="1">
      <c r="A1241" s="57" t="s">
        <v>3590</v>
      </c>
      <c r="B1241" s="57" t="s">
        <v>224</v>
      </c>
      <c r="C1241" s="57" t="s">
        <v>3609</v>
      </c>
      <c r="D1241" s="57" t="s">
        <v>3610</v>
      </c>
      <c r="E1241" s="57"/>
      <c r="F1241" s="58">
        <v>188000.0</v>
      </c>
      <c r="G1241" s="57" t="s">
        <v>251</v>
      </c>
      <c r="H1241" s="59" t="s">
        <v>952</v>
      </c>
      <c r="I1241" s="59" t="s">
        <v>953</v>
      </c>
      <c r="J1241" s="61"/>
      <c r="K1241" s="61"/>
      <c r="L1241" s="42"/>
      <c r="M1241" s="42"/>
      <c r="N1241" s="42"/>
      <c r="O1241" s="42"/>
      <c r="P1241" s="42"/>
      <c r="Q1241" s="42"/>
      <c r="R1241" s="42"/>
      <c r="S1241" s="42"/>
      <c r="T1241" s="42"/>
      <c r="U1241" s="42"/>
      <c r="V1241" s="42"/>
      <c r="W1241" s="42"/>
      <c r="X1241" s="42"/>
      <c r="Y1241" s="42"/>
      <c r="Z1241" s="42"/>
    </row>
    <row r="1242" ht="57.0" customHeight="1">
      <c r="A1242" s="57" t="s">
        <v>3590</v>
      </c>
      <c r="B1242" s="57" t="s">
        <v>224</v>
      </c>
      <c r="C1242" s="57" t="s">
        <v>3611</v>
      </c>
      <c r="D1242" s="57" t="s">
        <v>3612</v>
      </c>
      <c r="E1242" s="57"/>
      <c r="F1242" s="58">
        <v>120000.0</v>
      </c>
      <c r="G1242" s="57" t="s">
        <v>251</v>
      </c>
      <c r="H1242" s="59" t="s">
        <v>952</v>
      </c>
      <c r="I1242" s="59" t="s">
        <v>953</v>
      </c>
      <c r="J1242" s="61"/>
      <c r="K1242" s="61"/>
      <c r="L1242" s="42"/>
      <c r="M1242" s="42"/>
      <c r="N1242" s="42"/>
      <c r="O1242" s="42"/>
      <c r="P1242" s="42"/>
      <c r="Q1242" s="42"/>
      <c r="R1242" s="42"/>
      <c r="S1242" s="42"/>
      <c r="T1242" s="42"/>
      <c r="U1242" s="42"/>
      <c r="V1242" s="42"/>
      <c r="W1242" s="42"/>
      <c r="X1242" s="42"/>
      <c r="Y1242" s="42"/>
      <c r="Z1242" s="42"/>
    </row>
    <row r="1243" ht="57.0" customHeight="1">
      <c r="A1243" s="57" t="s">
        <v>3590</v>
      </c>
      <c r="B1243" s="57" t="s">
        <v>224</v>
      </c>
      <c r="C1243" s="57" t="s">
        <v>3613</v>
      </c>
      <c r="D1243" s="57" t="s">
        <v>3614</v>
      </c>
      <c r="E1243" s="57"/>
      <c r="F1243" s="58">
        <v>250000.0</v>
      </c>
      <c r="G1243" s="57" t="s">
        <v>251</v>
      </c>
      <c r="H1243" s="59" t="s">
        <v>952</v>
      </c>
      <c r="I1243" s="59" t="s">
        <v>953</v>
      </c>
      <c r="J1243" s="61"/>
      <c r="K1243" s="61"/>
      <c r="L1243" s="42"/>
      <c r="M1243" s="42"/>
      <c r="N1243" s="42"/>
      <c r="O1243" s="42"/>
      <c r="P1243" s="42"/>
      <c r="Q1243" s="42"/>
      <c r="R1243" s="42"/>
      <c r="S1243" s="42"/>
      <c r="T1243" s="42"/>
      <c r="U1243" s="42"/>
      <c r="V1243" s="42"/>
      <c r="W1243" s="42"/>
      <c r="X1243" s="42"/>
      <c r="Y1243" s="42"/>
      <c r="Z1243" s="42"/>
    </row>
    <row r="1244" ht="57.0" customHeight="1">
      <c r="A1244" s="57" t="s">
        <v>3590</v>
      </c>
      <c r="B1244" s="57" t="s">
        <v>224</v>
      </c>
      <c r="C1244" s="57" t="s">
        <v>3615</v>
      </c>
      <c r="D1244" s="57" t="s">
        <v>3616</v>
      </c>
      <c r="E1244" s="57"/>
      <c r="F1244" s="58">
        <v>298000.0</v>
      </c>
      <c r="G1244" s="57" t="s">
        <v>251</v>
      </c>
      <c r="H1244" s="59" t="s">
        <v>952</v>
      </c>
      <c r="I1244" s="59" t="s">
        <v>953</v>
      </c>
      <c r="J1244" s="61"/>
      <c r="K1244" s="61"/>
      <c r="L1244" s="42"/>
      <c r="M1244" s="42"/>
      <c r="N1244" s="42"/>
      <c r="O1244" s="42"/>
      <c r="P1244" s="42"/>
      <c r="Q1244" s="42"/>
      <c r="R1244" s="42"/>
      <c r="S1244" s="42"/>
      <c r="T1244" s="42"/>
      <c r="U1244" s="42"/>
      <c r="V1244" s="42"/>
      <c r="W1244" s="42"/>
      <c r="X1244" s="42"/>
      <c r="Y1244" s="42"/>
      <c r="Z1244" s="42"/>
    </row>
    <row r="1245" ht="57.0" customHeight="1">
      <c r="A1245" s="57" t="s">
        <v>3590</v>
      </c>
      <c r="B1245" s="57" t="s">
        <v>224</v>
      </c>
      <c r="C1245" s="57" t="s">
        <v>3617</v>
      </c>
      <c r="D1245" s="57" t="s">
        <v>3618</v>
      </c>
      <c r="E1245" s="57"/>
      <c r="F1245" s="58">
        <v>325000.0</v>
      </c>
      <c r="G1245" s="57" t="s">
        <v>251</v>
      </c>
      <c r="H1245" s="59" t="s">
        <v>952</v>
      </c>
      <c r="I1245" s="59" t="s">
        <v>953</v>
      </c>
      <c r="J1245" s="61"/>
      <c r="K1245" s="61"/>
      <c r="L1245" s="42"/>
      <c r="M1245" s="42"/>
      <c r="N1245" s="42"/>
      <c r="O1245" s="42"/>
      <c r="P1245" s="42"/>
      <c r="Q1245" s="42"/>
      <c r="R1245" s="42"/>
      <c r="S1245" s="42"/>
      <c r="T1245" s="42"/>
      <c r="U1245" s="42"/>
      <c r="V1245" s="42"/>
      <c r="W1245" s="42"/>
      <c r="X1245" s="42"/>
      <c r="Y1245" s="42"/>
      <c r="Z1245" s="42"/>
    </row>
    <row r="1246" ht="57.0" customHeight="1">
      <c r="A1246" s="57" t="s">
        <v>3590</v>
      </c>
      <c r="B1246" s="57" t="s">
        <v>224</v>
      </c>
      <c r="C1246" s="57" t="s">
        <v>3619</v>
      </c>
      <c r="D1246" s="57" t="s">
        <v>3620</v>
      </c>
      <c r="E1246" s="57"/>
      <c r="F1246" s="58">
        <v>117000.0</v>
      </c>
      <c r="G1246" s="57" t="s">
        <v>251</v>
      </c>
      <c r="H1246" s="59" t="s">
        <v>952</v>
      </c>
      <c r="I1246" s="59" t="s">
        <v>953</v>
      </c>
      <c r="J1246" s="61"/>
      <c r="K1246" s="61"/>
      <c r="L1246" s="42"/>
      <c r="M1246" s="42"/>
      <c r="N1246" s="42"/>
      <c r="O1246" s="42"/>
      <c r="P1246" s="42"/>
      <c r="Q1246" s="42"/>
      <c r="R1246" s="42"/>
      <c r="S1246" s="42"/>
      <c r="T1246" s="42"/>
      <c r="U1246" s="42"/>
      <c r="V1246" s="42"/>
      <c r="W1246" s="42"/>
      <c r="X1246" s="42"/>
      <c r="Y1246" s="42"/>
      <c r="Z1246" s="42"/>
    </row>
    <row r="1247" ht="57.0" customHeight="1">
      <c r="A1247" s="57" t="s">
        <v>3590</v>
      </c>
      <c r="B1247" s="57" t="s">
        <v>224</v>
      </c>
      <c r="C1247" s="57" t="s">
        <v>3621</v>
      </c>
      <c r="D1247" s="57" t="s">
        <v>3622</v>
      </c>
      <c r="E1247" s="57"/>
      <c r="F1247" s="58">
        <v>180000.0</v>
      </c>
      <c r="G1247" s="57" t="s">
        <v>251</v>
      </c>
      <c r="H1247" s="59" t="s">
        <v>952</v>
      </c>
      <c r="I1247" s="59" t="s">
        <v>953</v>
      </c>
      <c r="J1247" s="61"/>
      <c r="K1247" s="61"/>
      <c r="L1247" s="42"/>
      <c r="M1247" s="42"/>
      <c r="N1247" s="42"/>
      <c r="O1247" s="42"/>
      <c r="P1247" s="42"/>
      <c r="Q1247" s="42"/>
      <c r="R1247" s="42"/>
      <c r="S1247" s="42"/>
      <c r="T1247" s="42"/>
      <c r="U1247" s="42"/>
      <c r="V1247" s="42"/>
      <c r="W1247" s="42"/>
      <c r="X1247" s="42"/>
      <c r="Y1247" s="42"/>
      <c r="Z1247" s="42"/>
    </row>
    <row r="1248" ht="30.75" customHeight="1">
      <c r="A1248" s="57" t="s">
        <v>3590</v>
      </c>
      <c r="B1248" s="57" t="s">
        <v>224</v>
      </c>
      <c r="C1248" s="57" t="s">
        <v>3623</v>
      </c>
      <c r="D1248" s="57" t="s">
        <v>3624</v>
      </c>
      <c r="E1248" s="57"/>
      <c r="F1248" s="58">
        <v>18200.0</v>
      </c>
      <c r="G1248" s="57" t="s">
        <v>251</v>
      </c>
      <c r="H1248" s="59" t="s">
        <v>952</v>
      </c>
      <c r="I1248" s="59" t="s">
        <v>953</v>
      </c>
      <c r="J1248" s="61"/>
      <c r="K1248" s="61"/>
      <c r="L1248" s="42"/>
      <c r="M1248" s="42"/>
      <c r="N1248" s="42"/>
      <c r="O1248" s="42"/>
      <c r="P1248" s="42"/>
      <c r="Q1248" s="42"/>
      <c r="R1248" s="42"/>
      <c r="S1248" s="42"/>
      <c r="T1248" s="42"/>
      <c r="U1248" s="42"/>
      <c r="V1248" s="42"/>
      <c r="W1248" s="42"/>
      <c r="X1248" s="42"/>
      <c r="Y1248" s="42"/>
      <c r="Z1248" s="42"/>
    </row>
    <row r="1249" ht="30.75" customHeight="1">
      <c r="A1249" s="57" t="s">
        <v>3590</v>
      </c>
      <c r="B1249" s="57" t="s">
        <v>224</v>
      </c>
      <c r="C1249" s="57" t="s">
        <v>3625</v>
      </c>
      <c r="D1249" s="57" t="s">
        <v>3626</v>
      </c>
      <c r="E1249" s="57"/>
      <c r="F1249" s="58">
        <v>29700.0</v>
      </c>
      <c r="G1249" s="57" t="s">
        <v>251</v>
      </c>
      <c r="H1249" s="59" t="s">
        <v>952</v>
      </c>
      <c r="I1249" s="59" t="s">
        <v>953</v>
      </c>
      <c r="J1249" s="61"/>
      <c r="K1249" s="61"/>
      <c r="L1249" s="42"/>
      <c r="M1249" s="42"/>
      <c r="N1249" s="42"/>
      <c r="O1249" s="42"/>
      <c r="P1249" s="42"/>
      <c r="Q1249" s="42"/>
      <c r="R1249" s="42"/>
      <c r="S1249" s="42"/>
      <c r="T1249" s="42"/>
      <c r="U1249" s="42"/>
      <c r="V1249" s="42"/>
      <c r="W1249" s="42"/>
      <c r="X1249" s="42"/>
      <c r="Y1249" s="42"/>
      <c r="Z1249" s="42"/>
    </row>
    <row r="1250" ht="30.75" customHeight="1">
      <c r="A1250" s="57" t="s">
        <v>3590</v>
      </c>
      <c r="B1250" s="57" t="s">
        <v>224</v>
      </c>
      <c r="C1250" s="57" t="s">
        <v>3627</v>
      </c>
      <c r="D1250" s="57" t="s">
        <v>3628</v>
      </c>
      <c r="E1250" s="57"/>
      <c r="F1250" s="58">
        <v>63000.0</v>
      </c>
      <c r="G1250" s="57" t="s">
        <v>251</v>
      </c>
      <c r="H1250" s="59" t="s">
        <v>952</v>
      </c>
      <c r="I1250" s="59" t="s">
        <v>953</v>
      </c>
      <c r="J1250" s="61"/>
      <c r="K1250" s="61"/>
      <c r="L1250" s="42"/>
      <c r="M1250" s="42"/>
      <c r="N1250" s="42"/>
      <c r="O1250" s="42"/>
      <c r="P1250" s="42"/>
      <c r="Q1250" s="42"/>
      <c r="R1250" s="42"/>
      <c r="S1250" s="42"/>
      <c r="T1250" s="42"/>
      <c r="U1250" s="42"/>
      <c r="V1250" s="42"/>
      <c r="W1250" s="42"/>
      <c r="X1250" s="42"/>
      <c r="Y1250" s="42"/>
      <c r="Z1250" s="42"/>
    </row>
    <row r="1251" ht="30.75" customHeight="1">
      <c r="A1251" s="57" t="s">
        <v>3590</v>
      </c>
      <c r="B1251" s="57" t="s">
        <v>224</v>
      </c>
      <c r="C1251" s="57" t="s">
        <v>3629</v>
      </c>
      <c r="D1251" s="57" t="s">
        <v>3630</v>
      </c>
      <c r="E1251" s="57"/>
      <c r="F1251" s="58">
        <v>17600.0</v>
      </c>
      <c r="G1251" s="57" t="s">
        <v>251</v>
      </c>
      <c r="H1251" s="59" t="s">
        <v>952</v>
      </c>
      <c r="I1251" s="59" t="s">
        <v>953</v>
      </c>
      <c r="J1251" s="61"/>
      <c r="K1251" s="61"/>
      <c r="L1251" s="42"/>
      <c r="M1251" s="42"/>
      <c r="N1251" s="42"/>
      <c r="O1251" s="42"/>
      <c r="P1251" s="42"/>
      <c r="Q1251" s="42"/>
      <c r="R1251" s="42"/>
      <c r="S1251" s="42"/>
      <c r="T1251" s="42"/>
      <c r="U1251" s="42"/>
      <c r="V1251" s="42"/>
      <c r="W1251" s="42"/>
      <c r="X1251" s="42"/>
      <c r="Y1251" s="42"/>
      <c r="Z1251" s="42"/>
    </row>
    <row r="1252" ht="30.75" customHeight="1">
      <c r="A1252" s="57" t="s">
        <v>3590</v>
      </c>
      <c r="B1252" s="57" t="s">
        <v>224</v>
      </c>
      <c r="C1252" s="57" t="s">
        <v>3631</v>
      </c>
      <c r="D1252" s="57" t="s">
        <v>3632</v>
      </c>
      <c r="E1252" s="57"/>
      <c r="F1252" s="58">
        <v>42600.0</v>
      </c>
      <c r="G1252" s="57" t="s">
        <v>251</v>
      </c>
      <c r="H1252" s="59" t="s">
        <v>952</v>
      </c>
      <c r="I1252" s="59" t="s">
        <v>953</v>
      </c>
      <c r="J1252" s="61"/>
      <c r="K1252" s="61"/>
      <c r="L1252" s="42"/>
      <c r="M1252" s="42"/>
      <c r="N1252" s="42"/>
      <c r="O1252" s="42"/>
      <c r="P1252" s="42"/>
      <c r="Q1252" s="42"/>
      <c r="R1252" s="42"/>
      <c r="S1252" s="42"/>
      <c r="T1252" s="42"/>
      <c r="U1252" s="42"/>
      <c r="V1252" s="42"/>
      <c r="W1252" s="42"/>
      <c r="X1252" s="42"/>
      <c r="Y1252" s="42"/>
      <c r="Z1252" s="42"/>
    </row>
    <row r="1253" ht="30.75" customHeight="1">
      <c r="A1253" s="57" t="s">
        <v>3590</v>
      </c>
      <c r="B1253" s="57" t="s">
        <v>224</v>
      </c>
      <c r="C1253" s="57" t="s">
        <v>3633</v>
      </c>
      <c r="D1253" s="57" t="s">
        <v>3634</v>
      </c>
      <c r="E1253" s="57"/>
      <c r="F1253" s="58">
        <v>67000.0</v>
      </c>
      <c r="G1253" s="57" t="s">
        <v>251</v>
      </c>
      <c r="H1253" s="59" t="s">
        <v>952</v>
      </c>
      <c r="I1253" s="59" t="s">
        <v>953</v>
      </c>
      <c r="J1253" s="61"/>
      <c r="K1253" s="61"/>
      <c r="L1253" s="42"/>
      <c r="M1253" s="42"/>
      <c r="N1253" s="42"/>
      <c r="O1253" s="42"/>
      <c r="P1253" s="42"/>
      <c r="Q1253" s="42"/>
      <c r="R1253" s="42"/>
      <c r="S1253" s="42"/>
      <c r="T1253" s="42"/>
      <c r="U1253" s="42"/>
      <c r="V1253" s="42"/>
      <c r="W1253" s="42"/>
      <c r="X1253" s="42"/>
      <c r="Y1253" s="42"/>
      <c r="Z1253" s="42"/>
    </row>
    <row r="1254" ht="57.0" customHeight="1">
      <c r="A1254" s="57" t="s">
        <v>3590</v>
      </c>
      <c r="B1254" s="57" t="s">
        <v>224</v>
      </c>
      <c r="C1254" s="57" t="s">
        <v>3635</v>
      </c>
      <c r="D1254" s="57" t="s">
        <v>3636</v>
      </c>
      <c r="E1254" s="57"/>
      <c r="F1254" s="58">
        <v>11800.0</v>
      </c>
      <c r="G1254" s="57" t="s">
        <v>251</v>
      </c>
      <c r="H1254" s="59" t="s">
        <v>952</v>
      </c>
      <c r="I1254" s="59" t="s">
        <v>953</v>
      </c>
      <c r="J1254" s="61"/>
      <c r="K1254" s="61"/>
      <c r="L1254" s="42"/>
      <c r="M1254" s="42"/>
      <c r="N1254" s="42"/>
      <c r="O1254" s="42"/>
      <c r="P1254" s="42"/>
      <c r="Q1254" s="42"/>
      <c r="R1254" s="42"/>
      <c r="S1254" s="42"/>
      <c r="T1254" s="42"/>
      <c r="U1254" s="42"/>
      <c r="V1254" s="42"/>
      <c r="W1254" s="42"/>
      <c r="X1254" s="42"/>
      <c r="Y1254" s="42"/>
      <c r="Z1254" s="42"/>
    </row>
    <row r="1255" ht="57.0" customHeight="1">
      <c r="A1255" s="57" t="s">
        <v>3590</v>
      </c>
      <c r="B1255" s="57" t="s">
        <v>224</v>
      </c>
      <c r="C1255" s="57" t="s">
        <v>3637</v>
      </c>
      <c r="D1255" s="57" t="s">
        <v>3638</v>
      </c>
      <c r="E1255" s="57"/>
      <c r="F1255" s="58">
        <v>18200.0</v>
      </c>
      <c r="G1255" s="57" t="s">
        <v>251</v>
      </c>
      <c r="H1255" s="59" t="s">
        <v>952</v>
      </c>
      <c r="I1255" s="59" t="s">
        <v>953</v>
      </c>
      <c r="J1255" s="61"/>
      <c r="K1255" s="61"/>
      <c r="L1255" s="42"/>
      <c r="M1255" s="42"/>
      <c r="N1255" s="42"/>
      <c r="O1255" s="42"/>
      <c r="P1255" s="42"/>
      <c r="Q1255" s="42"/>
      <c r="R1255" s="42"/>
      <c r="S1255" s="42"/>
      <c r="T1255" s="42"/>
      <c r="U1255" s="42"/>
      <c r="V1255" s="42"/>
      <c r="W1255" s="42"/>
      <c r="X1255" s="42"/>
      <c r="Y1255" s="42"/>
      <c r="Z1255" s="42"/>
    </row>
    <row r="1256" ht="30.75" customHeight="1">
      <c r="A1256" s="57" t="s">
        <v>3590</v>
      </c>
      <c r="B1256" s="57" t="s">
        <v>224</v>
      </c>
      <c r="C1256" s="57" t="s">
        <v>3639</v>
      </c>
      <c r="D1256" s="57" t="s">
        <v>3640</v>
      </c>
      <c r="E1256" s="57"/>
      <c r="F1256" s="58">
        <v>39100.0</v>
      </c>
      <c r="G1256" s="57" t="s">
        <v>251</v>
      </c>
      <c r="H1256" s="59" t="s">
        <v>952</v>
      </c>
      <c r="I1256" s="59" t="s">
        <v>953</v>
      </c>
      <c r="J1256" s="61"/>
      <c r="K1256" s="61"/>
      <c r="L1256" s="42"/>
      <c r="M1256" s="42"/>
      <c r="N1256" s="42"/>
      <c r="O1256" s="42"/>
      <c r="P1256" s="42"/>
      <c r="Q1256" s="42"/>
      <c r="R1256" s="42"/>
      <c r="S1256" s="42"/>
      <c r="T1256" s="42"/>
      <c r="U1256" s="42"/>
      <c r="V1256" s="42"/>
      <c r="W1256" s="42"/>
      <c r="X1256" s="42"/>
      <c r="Y1256" s="42"/>
      <c r="Z1256" s="42"/>
    </row>
    <row r="1257" ht="30.75" customHeight="1">
      <c r="A1257" s="57" t="s">
        <v>3590</v>
      </c>
      <c r="B1257" s="57" t="s">
        <v>224</v>
      </c>
      <c r="C1257" s="57" t="s">
        <v>3641</v>
      </c>
      <c r="D1257" s="57" t="s">
        <v>3642</v>
      </c>
      <c r="E1257" s="57"/>
      <c r="F1257" s="58">
        <v>63000.0</v>
      </c>
      <c r="G1257" s="57" t="s">
        <v>251</v>
      </c>
      <c r="H1257" s="59" t="s">
        <v>952</v>
      </c>
      <c r="I1257" s="59" t="s">
        <v>953</v>
      </c>
      <c r="J1257" s="61"/>
      <c r="K1257" s="61"/>
      <c r="L1257" s="42"/>
      <c r="M1257" s="42"/>
      <c r="N1257" s="42"/>
      <c r="O1257" s="42"/>
      <c r="P1257" s="42"/>
      <c r="Q1257" s="42"/>
      <c r="R1257" s="42"/>
      <c r="S1257" s="42"/>
      <c r="T1257" s="42"/>
      <c r="U1257" s="42"/>
      <c r="V1257" s="42"/>
      <c r="W1257" s="42"/>
      <c r="X1257" s="42"/>
      <c r="Y1257" s="42"/>
      <c r="Z1257" s="42"/>
    </row>
    <row r="1258" ht="30.75" customHeight="1">
      <c r="A1258" s="57" t="s">
        <v>3590</v>
      </c>
      <c r="B1258" s="57" t="s">
        <v>224</v>
      </c>
      <c r="C1258" s="57" t="s">
        <v>3643</v>
      </c>
      <c r="D1258" s="57" t="s">
        <v>3644</v>
      </c>
      <c r="E1258" s="57"/>
      <c r="F1258" s="58">
        <v>8600.0</v>
      </c>
      <c r="G1258" s="57" t="s">
        <v>251</v>
      </c>
      <c r="H1258" s="59" t="s">
        <v>952</v>
      </c>
      <c r="I1258" s="59" t="s">
        <v>953</v>
      </c>
      <c r="J1258" s="61"/>
      <c r="K1258" s="61"/>
      <c r="L1258" s="42"/>
      <c r="M1258" s="42"/>
      <c r="N1258" s="42"/>
      <c r="O1258" s="42"/>
      <c r="P1258" s="42"/>
      <c r="Q1258" s="42"/>
      <c r="R1258" s="42"/>
      <c r="S1258" s="42"/>
      <c r="T1258" s="42"/>
      <c r="U1258" s="42"/>
      <c r="V1258" s="42"/>
      <c r="W1258" s="42"/>
      <c r="X1258" s="42"/>
      <c r="Y1258" s="42"/>
      <c r="Z1258" s="42"/>
    </row>
    <row r="1259" ht="30.75" customHeight="1">
      <c r="A1259" s="57" t="s">
        <v>3590</v>
      </c>
      <c r="B1259" s="57" t="s">
        <v>224</v>
      </c>
      <c r="C1259" s="57" t="s">
        <v>3645</v>
      </c>
      <c r="D1259" s="57" t="s">
        <v>3646</v>
      </c>
      <c r="E1259" s="57"/>
      <c r="F1259" s="58">
        <v>13700.0</v>
      </c>
      <c r="G1259" s="57" t="s">
        <v>251</v>
      </c>
      <c r="H1259" s="59" t="s">
        <v>952</v>
      </c>
      <c r="I1259" s="59" t="s">
        <v>953</v>
      </c>
      <c r="J1259" s="61"/>
      <c r="K1259" s="61"/>
      <c r="L1259" s="42"/>
      <c r="M1259" s="42"/>
      <c r="N1259" s="42"/>
      <c r="O1259" s="42"/>
      <c r="P1259" s="42"/>
      <c r="Q1259" s="42"/>
      <c r="R1259" s="42"/>
      <c r="S1259" s="42"/>
      <c r="T1259" s="42"/>
      <c r="U1259" s="42"/>
      <c r="V1259" s="42"/>
      <c r="W1259" s="42"/>
      <c r="X1259" s="42"/>
      <c r="Y1259" s="42"/>
      <c r="Z1259" s="42"/>
    </row>
    <row r="1260" ht="30.75" customHeight="1">
      <c r="A1260" s="57" t="s">
        <v>3590</v>
      </c>
      <c r="B1260" s="57" t="s">
        <v>224</v>
      </c>
      <c r="C1260" s="57" t="s">
        <v>3647</v>
      </c>
      <c r="D1260" s="57" t="s">
        <v>3648</v>
      </c>
      <c r="E1260" s="57"/>
      <c r="F1260" s="58">
        <v>21000.0</v>
      </c>
      <c r="G1260" s="57" t="s">
        <v>251</v>
      </c>
      <c r="H1260" s="59" t="s">
        <v>952</v>
      </c>
      <c r="I1260" s="59" t="s">
        <v>953</v>
      </c>
      <c r="J1260" s="61"/>
      <c r="K1260" s="61"/>
      <c r="L1260" s="42"/>
      <c r="M1260" s="42"/>
      <c r="N1260" s="42"/>
      <c r="O1260" s="42"/>
      <c r="P1260" s="42"/>
      <c r="Q1260" s="42"/>
      <c r="R1260" s="42"/>
      <c r="S1260" s="42"/>
      <c r="T1260" s="42"/>
      <c r="U1260" s="42"/>
      <c r="V1260" s="42"/>
      <c r="W1260" s="42"/>
      <c r="X1260" s="42"/>
      <c r="Y1260" s="42"/>
      <c r="Z1260" s="42"/>
    </row>
    <row r="1261" ht="30.75" customHeight="1">
      <c r="A1261" s="57" t="s">
        <v>3590</v>
      </c>
      <c r="B1261" s="57" t="s">
        <v>224</v>
      </c>
      <c r="C1261" s="57" t="s">
        <v>3649</v>
      </c>
      <c r="D1261" s="57" t="s">
        <v>3650</v>
      </c>
      <c r="E1261" s="57"/>
      <c r="F1261" s="58">
        <v>5800.0</v>
      </c>
      <c r="G1261" s="57" t="s">
        <v>3651</v>
      </c>
      <c r="H1261" s="59" t="s">
        <v>952</v>
      </c>
      <c r="I1261" s="59" t="s">
        <v>953</v>
      </c>
      <c r="J1261" s="61"/>
      <c r="K1261" s="61"/>
      <c r="L1261" s="42"/>
      <c r="M1261" s="42"/>
      <c r="N1261" s="42"/>
      <c r="O1261" s="42"/>
      <c r="P1261" s="42"/>
      <c r="Q1261" s="42"/>
      <c r="R1261" s="42"/>
      <c r="S1261" s="42"/>
      <c r="T1261" s="42"/>
      <c r="U1261" s="42"/>
      <c r="V1261" s="42"/>
      <c r="W1261" s="42"/>
      <c r="X1261" s="42"/>
      <c r="Y1261" s="42"/>
      <c r="Z1261" s="42"/>
    </row>
    <row r="1262" ht="30.75" customHeight="1">
      <c r="A1262" s="57" t="s">
        <v>3590</v>
      </c>
      <c r="B1262" s="57" t="s">
        <v>224</v>
      </c>
      <c r="C1262" s="57" t="s">
        <v>3652</v>
      </c>
      <c r="D1262" s="57" t="s">
        <v>3653</v>
      </c>
      <c r="E1262" s="57"/>
      <c r="F1262" s="58">
        <v>7500.0</v>
      </c>
      <c r="G1262" s="57" t="s">
        <v>3651</v>
      </c>
      <c r="H1262" s="59" t="s">
        <v>952</v>
      </c>
      <c r="I1262" s="59" t="s">
        <v>953</v>
      </c>
      <c r="J1262" s="61"/>
      <c r="K1262" s="61"/>
      <c r="L1262" s="42"/>
      <c r="M1262" s="42"/>
      <c r="N1262" s="42"/>
      <c r="O1262" s="42"/>
      <c r="P1262" s="42"/>
      <c r="Q1262" s="42"/>
      <c r="R1262" s="42"/>
      <c r="S1262" s="42"/>
      <c r="T1262" s="42"/>
      <c r="U1262" s="42"/>
      <c r="V1262" s="42"/>
      <c r="W1262" s="42"/>
      <c r="X1262" s="42"/>
      <c r="Y1262" s="42"/>
      <c r="Z1262" s="42"/>
    </row>
    <row r="1263" ht="30.75" customHeight="1">
      <c r="A1263" s="57" t="s">
        <v>3590</v>
      </c>
      <c r="B1263" s="57" t="s">
        <v>224</v>
      </c>
      <c r="C1263" s="57" t="s">
        <v>3654</v>
      </c>
      <c r="D1263" s="57" t="s">
        <v>3655</v>
      </c>
      <c r="E1263" s="57"/>
      <c r="F1263" s="58">
        <v>8900.0</v>
      </c>
      <c r="G1263" s="57" t="s">
        <v>3651</v>
      </c>
      <c r="H1263" s="59" t="s">
        <v>952</v>
      </c>
      <c r="I1263" s="59" t="s">
        <v>953</v>
      </c>
      <c r="J1263" s="61"/>
      <c r="K1263" s="61"/>
      <c r="L1263" s="42"/>
      <c r="M1263" s="42"/>
      <c r="N1263" s="42"/>
      <c r="O1263" s="42"/>
      <c r="P1263" s="42"/>
      <c r="Q1263" s="42"/>
      <c r="R1263" s="42"/>
      <c r="S1263" s="42"/>
      <c r="T1263" s="42"/>
      <c r="U1263" s="42"/>
      <c r="V1263" s="42"/>
      <c r="W1263" s="42"/>
      <c r="X1263" s="42"/>
      <c r="Y1263" s="42"/>
      <c r="Z1263" s="42"/>
    </row>
    <row r="1264" ht="30.75" customHeight="1">
      <c r="A1264" s="57" t="s">
        <v>3590</v>
      </c>
      <c r="B1264" s="57" t="s">
        <v>224</v>
      </c>
      <c r="C1264" s="57" t="s">
        <v>3656</v>
      </c>
      <c r="D1264" s="57" t="s">
        <v>3657</v>
      </c>
      <c r="E1264" s="57"/>
      <c r="F1264" s="58">
        <v>11000.0</v>
      </c>
      <c r="G1264" s="57" t="s">
        <v>3651</v>
      </c>
      <c r="H1264" s="59" t="s">
        <v>952</v>
      </c>
      <c r="I1264" s="59" t="s">
        <v>953</v>
      </c>
      <c r="J1264" s="61"/>
      <c r="K1264" s="61"/>
      <c r="L1264" s="42"/>
      <c r="M1264" s="42"/>
      <c r="N1264" s="42"/>
      <c r="O1264" s="42"/>
      <c r="P1264" s="42"/>
      <c r="Q1264" s="42"/>
      <c r="R1264" s="42"/>
      <c r="S1264" s="42"/>
      <c r="T1264" s="42"/>
      <c r="U1264" s="42"/>
      <c r="V1264" s="42"/>
      <c r="W1264" s="42"/>
      <c r="X1264" s="42"/>
      <c r="Y1264" s="42"/>
      <c r="Z1264" s="42"/>
    </row>
    <row r="1265" ht="30.75" customHeight="1">
      <c r="A1265" s="57" t="s">
        <v>3590</v>
      </c>
      <c r="B1265" s="57" t="s">
        <v>224</v>
      </c>
      <c r="C1265" s="57" t="s">
        <v>3658</v>
      </c>
      <c r="D1265" s="57" t="s">
        <v>3659</v>
      </c>
      <c r="E1265" s="57"/>
      <c r="F1265" s="58">
        <v>7000.0</v>
      </c>
      <c r="G1265" s="57" t="s">
        <v>3651</v>
      </c>
      <c r="H1265" s="59" t="s">
        <v>952</v>
      </c>
      <c r="I1265" s="59" t="s">
        <v>953</v>
      </c>
      <c r="J1265" s="61"/>
      <c r="K1265" s="61"/>
      <c r="L1265" s="42"/>
      <c r="M1265" s="42"/>
      <c r="N1265" s="42"/>
      <c r="O1265" s="42"/>
      <c r="P1265" s="42"/>
      <c r="Q1265" s="42"/>
      <c r="R1265" s="42"/>
      <c r="S1265" s="42"/>
      <c r="T1265" s="42"/>
      <c r="U1265" s="42"/>
      <c r="V1265" s="42"/>
      <c r="W1265" s="42"/>
      <c r="X1265" s="42"/>
      <c r="Y1265" s="42"/>
      <c r="Z1265" s="42"/>
    </row>
    <row r="1266" ht="30.75" customHeight="1">
      <c r="A1266" s="57" t="s">
        <v>3590</v>
      </c>
      <c r="B1266" s="57" t="s">
        <v>224</v>
      </c>
      <c r="C1266" s="57" t="s">
        <v>3660</v>
      </c>
      <c r="D1266" s="57" t="s">
        <v>3661</v>
      </c>
      <c r="E1266" s="57"/>
      <c r="F1266" s="58">
        <v>10700.0</v>
      </c>
      <c r="G1266" s="57" t="s">
        <v>3651</v>
      </c>
      <c r="H1266" s="59" t="s">
        <v>952</v>
      </c>
      <c r="I1266" s="59" t="s">
        <v>953</v>
      </c>
      <c r="J1266" s="61"/>
      <c r="K1266" s="61"/>
      <c r="L1266" s="42"/>
      <c r="M1266" s="42"/>
      <c r="N1266" s="42"/>
      <c r="O1266" s="42"/>
      <c r="P1266" s="42"/>
      <c r="Q1266" s="42"/>
      <c r="R1266" s="42"/>
      <c r="S1266" s="42"/>
      <c r="T1266" s="42"/>
      <c r="U1266" s="42"/>
      <c r="V1266" s="42"/>
      <c r="W1266" s="42"/>
      <c r="X1266" s="42"/>
      <c r="Y1266" s="42"/>
      <c r="Z1266" s="42"/>
    </row>
    <row r="1267" ht="30.75" customHeight="1">
      <c r="A1267" s="57" t="s">
        <v>3590</v>
      </c>
      <c r="B1267" s="57" t="s">
        <v>224</v>
      </c>
      <c r="C1267" s="57" t="s">
        <v>3662</v>
      </c>
      <c r="D1267" s="57" t="s">
        <v>3663</v>
      </c>
      <c r="E1267" s="57"/>
      <c r="F1267" s="58">
        <v>13500.0</v>
      </c>
      <c r="G1267" s="57" t="s">
        <v>3651</v>
      </c>
      <c r="H1267" s="59" t="s">
        <v>952</v>
      </c>
      <c r="I1267" s="59" t="s">
        <v>953</v>
      </c>
      <c r="J1267" s="61"/>
      <c r="K1267" s="61"/>
      <c r="L1267" s="42"/>
      <c r="M1267" s="42"/>
      <c r="N1267" s="42"/>
      <c r="O1267" s="42"/>
      <c r="P1267" s="42"/>
      <c r="Q1267" s="42"/>
      <c r="R1267" s="42"/>
      <c r="S1267" s="42"/>
      <c r="T1267" s="42"/>
      <c r="U1267" s="42"/>
      <c r="V1267" s="42"/>
      <c r="W1267" s="42"/>
      <c r="X1267" s="42"/>
      <c r="Y1267" s="42"/>
      <c r="Z1267" s="42"/>
    </row>
    <row r="1268" ht="30.75" customHeight="1">
      <c r="A1268" s="57" t="s">
        <v>3590</v>
      </c>
      <c r="B1268" s="57" t="s">
        <v>224</v>
      </c>
      <c r="C1268" s="57" t="s">
        <v>3664</v>
      </c>
      <c r="D1268" s="57" t="s">
        <v>3665</v>
      </c>
      <c r="E1268" s="57"/>
      <c r="F1268" s="58">
        <v>16800.0</v>
      </c>
      <c r="G1268" s="57" t="s">
        <v>3651</v>
      </c>
      <c r="H1268" s="59" t="s">
        <v>952</v>
      </c>
      <c r="I1268" s="59" t="s">
        <v>953</v>
      </c>
      <c r="J1268" s="61"/>
      <c r="K1268" s="61"/>
      <c r="L1268" s="42"/>
      <c r="M1268" s="42"/>
      <c r="N1268" s="42"/>
      <c r="O1268" s="42"/>
      <c r="P1268" s="42"/>
      <c r="Q1268" s="42"/>
      <c r="R1268" s="42"/>
      <c r="S1268" s="42"/>
      <c r="T1268" s="42"/>
      <c r="U1268" s="42"/>
      <c r="V1268" s="42"/>
      <c r="W1268" s="42"/>
      <c r="X1268" s="42"/>
      <c r="Y1268" s="42"/>
      <c r="Z1268" s="42"/>
    </row>
    <row r="1269" ht="30.75" customHeight="1">
      <c r="A1269" s="57" t="s">
        <v>3590</v>
      </c>
      <c r="B1269" s="57" t="s">
        <v>224</v>
      </c>
      <c r="C1269" s="57" t="s">
        <v>3666</v>
      </c>
      <c r="D1269" s="57" t="s">
        <v>3667</v>
      </c>
      <c r="E1269" s="57"/>
      <c r="F1269" s="58">
        <v>20400.0</v>
      </c>
      <c r="G1269" s="57" t="s">
        <v>3651</v>
      </c>
      <c r="H1269" s="59" t="s">
        <v>952</v>
      </c>
      <c r="I1269" s="59" t="s">
        <v>953</v>
      </c>
      <c r="J1269" s="61"/>
      <c r="K1269" s="61"/>
      <c r="L1269" s="42"/>
      <c r="M1269" s="42"/>
      <c r="N1269" s="42"/>
      <c r="O1269" s="42"/>
      <c r="P1269" s="42"/>
      <c r="Q1269" s="42"/>
      <c r="R1269" s="42"/>
      <c r="S1269" s="42"/>
      <c r="T1269" s="42"/>
      <c r="U1269" s="42"/>
      <c r="V1269" s="42"/>
      <c r="W1269" s="42"/>
      <c r="X1269" s="42"/>
      <c r="Y1269" s="42"/>
      <c r="Z1269" s="42"/>
    </row>
    <row r="1270" ht="30.75" customHeight="1">
      <c r="A1270" s="57" t="s">
        <v>3590</v>
      </c>
      <c r="B1270" s="57" t="s">
        <v>224</v>
      </c>
      <c r="C1270" s="57" t="s">
        <v>3668</v>
      </c>
      <c r="D1270" s="57" t="s">
        <v>3669</v>
      </c>
      <c r="E1270" s="57"/>
      <c r="F1270" s="58">
        <v>41600.0</v>
      </c>
      <c r="G1270" s="57" t="s">
        <v>251</v>
      </c>
      <c r="H1270" s="59" t="s">
        <v>952</v>
      </c>
      <c r="I1270" s="59" t="s">
        <v>953</v>
      </c>
      <c r="J1270" s="61"/>
      <c r="K1270" s="61"/>
      <c r="L1270" s="42"/>
      <c r="M1270" s="42"/>
      <c r="N1270" s="42"/>
      <c r="O1270" s="42"/>
      <c r="P1270" s="42"/>
      <c r="Q1270" s="42"/>
      <c r="R1270" s="42"/>
      <c r="S1270" s="42"/>
      <c r="T1270" s="42"/>
      <c r="U1270" s="42"/>
      <c r="V1270" s="42"/>
      <c r="W1270" s="42"/>
      <c r="X1270" s="42"/>
      <c r="Y1270" s="42"/>
      <c r="Z1270" s="42"/>
    </row>
    <row r="1271" ht="30.75" customHeight="1">
      <c r="A1271" s="57" t="s">
        <v>3590</v>
      </c>
      <c r="B1271" s="57" t="s">
        <v>224</v>
      </c>
      <c r="C1271" s="57" t="s">
        <v>3670</v>
      </c>
      <c r="D1271" s="57" t="s">
        <v>3671</v>
      </c>
      <c r="E1271" s="57"/>
      <c r="F1271" s="58">
        <v>8000.0</v>
      </c>
      <c r="G1271" s="57" t="s">
        <v>251</v>
      </c>
      <c r="H1271" s="59" t="s">
        <v>952</v>
      </c>
      <c r="I1271" s="59" t="s">
        <v>953</v>
      </c>
      <c r="J1271" s="61"/>
      <c r="K1271" s="61"/>
      <c r="L1271" s="42"/>
      <c r="M1271" s="42"/>
      <c r="N1271" s="42"/>
      <c r="O1271" s="42"/>
      <c r="P1271" s="42"/>
      <c r="Q1271" s="42"/>
      <c r="R1271" s="42"/>
      <c r="S1271" s="42"/>
      <c r="T1271" s="42"/>
      <c r="U1271" s="42"/>
      <c r="V1271" s="42"/>
      <c r="W1271" s="42"/>
      <c r="X1271" s="42"/>
      <c r="Y1271" s="42"/>
      <c r="Z1271" s="42"/>
    </row>
    <row r="1272" ht="30.75" customHeight="1">
      <c r="A1272" s="57" t="s">
        <v>3590</v>
      </c>
      <c r="B1272" s="57" t="s">
        <v>224</v>
      </c>
      <c r="C1272" s="57" t="s">
        <v>3672</v>
      </c>
      <c r="D1272" s="57" t="s">
        <v>3673</v>
      </c>
      <c r="E1272" s="57"/>
      <c r="F1272" s="58">
        <v>9400.0</v>
      </c>
      <c r="G1272" s="57" t="s">
        <v>467</v>
      </c>
      <c r="H1272" s="59" t="s">
        <v>952</v>
      </c>
      <c r="I1272" s="59" t="s">
        <v>953</v>
      </c>
      <c r="J1272" s="61"/>
      <c r="K1272" s="61"/>
      <c r="L1272" s="42"/>
      <c r="M1272" s="42"/>
      <c r="N1272" s="42"/>
      <c r="O1272" s="42"/>
      <c r="P1272" s="42"/>
      <c r="Q1272" s="42"/>
      <c r="R1272" s="42"/>
      <c r="S1272" s="42"/>
      <c r="T1272" s="42"/>
      <c r="U1272" s="42"/>
      <c r="V1272" s="42"/>
      <c r="W1272" s="42"/>
      <c r="X1272" s="42"/>
      <c r="Y1272" s="42"/>
      <c r="Z1272" s="42"/>
    </row>
    <row r="1273" ht="30.75" customHeight="1">
      <c r="A1273" s="57" t="s">
        <v>3590</v>
      </c>
      <c r="B1273" s="57" t="s">
        <v>224</v>
      </c>
      <c r="C1273" s="57" t="s">
        <v>3674</v>
      </c>
      <c r="D1273" s="57" t="s">
        <v>3675</v>
      </c>
      <c r="E1273" s="57"/>
      <c r="F1273" s="58">
        <v>6600.0</v>
      </c>
      <c r="G1273" s="57" t="s">
        <v>664</v>
      </c>
      <c r="H1273" s="59" t="s">
        <v>952</v>
      </c>
      <c r="I1273" s="59" t="s">
        <v>953</v>
      </c>
      <c r="J1273" s="61"/>
      <c r="K1273" s="61"/>
      <c r="L1273" s="42"/>
      <c r="M1273" s="42"/>
      <c r="N1273" s="42"/>
      <c r="O1273" s="42"/>
      <c r="P1273" s="42"/>
      <c r="Q1273" s="42"/>
      <c r="R1273" s="42"/>
      <c r="S1273" s="42"/>
      <c r="T1273" s="42"/>
      <c r="U1273" s="42"/>
      <c r="V1273" s="42"/>
      <c r="W1273" s="42"/>
      <c r="X1273" s="42"/>
      <c r="Y1273" s="42"/>
      <c r="Z1273" s="42"/>
    </row>
    <row r="1274" ht="30.75" customHeight="1">
      <c r="A1274" s="57" t="s">
        <v>3590</v>
      </c>
      <c r="B1274" s="57" t="s">
        <v>224</v>
      </c>
      <c r="C1274" s="57" t="s">
        <v>3676</v>
      </c>
      <c r="D1274" s="57" t="s">
        <v>3677</v>
      </c>
      <c r="E1274" s="57"/>
      <c r="F1274" s="58">
        <v>7200.0</v>
      </c>
      <c r="G1274" s="57" t="s">
        <v>664</v>
      </c>
      <c r="H1274" s="59" t="s">
        <v>952</v>
      </c>
      <c r="I1274" s="59" t="s">
        <v>953</v>
      </c>
      <c r="J1274" s="61"/>
      <c r="K1274" s="61"/>
      <c r="L1274" s="42"/>
      <c r="M1274" s="42"/>
      <c r="N1274" s="42"/>
      <c r="O1274" s="42"/>
      <c r="P1274" s="42"/>
      <c r="Q1274" s="42"/>
      <c r="R1274" s="42"/>
      <c r="S1274" s="42"/>
      <c r="T1274" s="42"/>
      <c r="U1274" s="42"/>
      <c r="V1274" s="42"/>
      <c r="W1274" s="42"/>
      <c r="X1274" s="42"/>
      <c r="Y1274" s="42"/>
      <c r="Z1274" s="42"/>
    </row>
    <row r="1275" ht="30.75" customHeight="1">
      <c r="A1275" s="57" t="s">
        <v>3590</v>
      </c>
      <c r="B1275" s="57" t="s">
        <v>224</v>
      </c>
      <c r="C1275" s="57" t="s">
        <v>3678</v>
      </c>
      <c r="D1275" s="57" t="s">
        <v>3679</v>
      </c>
      <c r="E1275" s="57"/>
      <c r="F1275" s="58">
        <v>9000.0</v>
      </c>
      <c r="G1275" s="57" t="s">
        <v>664</v>
      </c>
      <c r="H1275" s="59" t="s">
        <v>952</v>
      </c>
      <c r="I1275" s="59" t="s">
        <v>953</v>
      </c>
      <c r="J1275" s="61"/>
      <c r="K1275" s="61"/>
      <c r="L1275" s="42"/>
      <c r="M1275" s="42"/>
      <c r="N1275" s="42"/>
      <c r="O1275" s="42"/>
      <c r="P1275" s="42"/>
      <c r="Q1275" s="42"/>
      <c r="R1275" s="42"/>
      <c r="S1275" s="42"/>
      <c r="T1275" s="42"/>
      <c r="U1275" s="42"/>
      <c r="V1275" s="42"/>
      <c r="W1275" s="42"/>
      <c r="X1275" s="42"/>
      <c r="Y1275" s="42"/>
      <c r="Z1275" s="42"/>
    </row>
    <row r="1276" ht="30.75" customHeight="1">
      <c r="A1276" s="52" t="s">
        <v>3590</v>
      </c>
      <c r="B1276" s="52" t="s">
        <v>227</v>
      </c>
      <c r="C1276" s="52" t="s">
        <v>228</v>
      </c>
      <c r="D1276" s="52" t="s">
        <v>229</v>
      </c>
      <c r="E1276" s="52"/>
      <c r="F1276" s="62"/>
      <c r="G1276" s="52"/>
      <c r="H1276" s="63"/>
      <c r="I1276" s="63"/>
      <c r="J1276" s="54"/>
      <c r="K1276" s="54"/>
      <c r="L1276" s="56"/>
      <c r="M1276" s="56"/>
      <c r="N1276" s="56"/>
      <c r="O1276" s="56"/>
      <c r="P1276" s="56"/>
      <c r="Q1276" s="56"/>
      <c r="R1276" s="56"/>
      <c r="S1276" s="56"/>
      <c r="T1276" s="56"/>
      <c r="U1276" s="56"/>
      <c r="V1276" s="56"/>
      <c r="W1276" s="56"/>
      <c r="X1276" s="56"/>
      <c r="Y1276" s="56"/>
      <c r="Z1276" s="56"/>
    </row>
    <row r="1277" ht="85.5" customHeight="1">
      <c r="A1277" s="57" t="s">
        <v>3590</v>
      </c>
      <c r="B1277" s="57" t="s">
        <v>227</v>
      </c>
      <c r="C1277" s="57" t="s">
        <v>3680</v>
      </c>
      <c r="D1277" s="57" t="s">
        <v>3681</v>
      </c>
      <c r="E1277" s="57"/>
      <c r="F1277" s="58">
        <v>15700.0</v>
      </c>
      <c r="G1277" s="57" t="s">
        <v>467</v>
      </c>
      <c r="H1277" s="59" t="s">
        <v>594</v>
      </c>
      <c r="I1277" s="59" t="s">
        <v>3682</v>
      </c>
      <c r="J1277" s="61" t="s">
        <v>3683</v>
      </c>
      <c r="K1277" s="67">
        <v>25659.0</v>
      </c>
      <c r="L1277" s="42"/>
      <c r="M1277" s="42"/>
      <c r="N1277" s="42"/>
      <c r="O1277" s="42"/>
      <c r="P1277" s="42"/>
      <c r="Q1277" s="42"/>
      <c r="R1277" s="42"/>
      <c r="S1277" s="42"/>
      <c r="T1277" s="42"/>
      <c r="U1277" s="42"/>
      <c r="V1277" s="42"/>
      <c r="W1277" s="42"/>
      <c r="X1277" s="42"/>
      <c r="Y1277" s="42"/>
      <c r="Z1277" s="42"/>
    </row>
    <row r="1278" ht="142.5" customHeight="1">
      <c r="A1278" s="57" t="s">
        <v>3590</v>
      </c>
      <c r="B1278" s="57" t="s">
        <v>227</v>
      </c>
      <c r="C1278" s="57" t="s">
        <v>3684</v>
      </c>
      <c r="D1278" s="57" t="s">
        <v>3685</v>
      </c>
      <c r="E1278" s="57" t="s">
        <v>3686</v>
      </c>
      <c r="F1278" s="58">
        <v>19900.0</v>
      </c>
      <c r="G1278" s="57" t="s">
        <v>467</v>
      </c>
      <c r="H1278" s="59" t="s">
        <v>594</v>
      </c>
      <c r="I1278" s="59" t="s">
        <v>3490</v>
      </c>
      <c r="J1278" s="61" t="s">
        <v>3687</v>
      </c>
      <c r="K1278" s="67">
        <v>25263.0</v>
      </c>
      <c r="L1278" s="42"/>
      <c r="M1278" s="42"/>
      <c r="N1278" s="42"/>
      <c r="O1278" s="42"/>
      <c r="P1278" s="42"/>
      <c r="Q1278" s="42"/>
      <c r="R1278" s="42"/>
      <c r="S1278" s="42"/>
      <c r="T1278" s="42"/>
      <c r="U1278" s="42"/>
      <c r="V1278" s="42"/>
      <c r="W1278" s="42"/>
      <c r="X1278" s="42"/>
      <c r="Y1278" s="42"/>
      <c r="Z1278" s="42"/>
    </row>
    <row r="1279" ht="85.5" customHeight="1">
      <c r="A1279" s="57" t="s">
        <v>3590</v>
      </c>
      <c r="B1279" s="57" t="s">
        <v>227</v>
      </c>
      <c r="C1279" s="57" t="s">
        <v>3688</v>
      </c>
      <c r="D1279" s="57" t="s">
        <v>3689</v>
      </c>
      <c r="E1279" s="57"/>
      <c r="F1279" s="58">
        <v>19500.0</v>
      </c>
      <c r="G1279" s="57" t="s">
        <v>467</v>
      </c>
      <c r="H1279" s="59" t="s">
        <v>594</v>
      </c>
      <c r="I1279" s="59" t="s">
        <v>3682</v>
      </c>
      <c r="J1279" s="61" t="s">
        <v>3683</v>
      </c>
      <c r="K1279" s="67">
        <v>25659.0</v>
      </c>
      <c r="L1279" s="42"/>
      <c r="M1279" s="42"/>
      <c r="N1279" s="42"/>
      <c r="O1279" s="42"/>
      <c r="P1279" s="42"/>
      <c r="Q1279" s="42"/>
      <c r="R1279" s="42"/>
      <c r="S1279" s="42"/>
      <c r="T1279" s="42"/>
      <c r="U1279" s="42"/>
      <c r="V1279" s="42"/>
      <c r="W1279" s="42"/>
      <c r="X1279" s="42"/>
      <c r="Y1279" s="42"/>
      <c r="Z1279" s="42"/>
    </row>
    <row r="1280" ht="57.0" customHeight="1">
      <c r="A1280" s="57" t="s">
        <v>3590</v>
      </c>
      <c r="B1280" s="57" t="s">
        <v>227</v>
      </c>
      <c r="C1280" s="57" t="s">
        <v>3690</v>
      </c>
      <c r="D1280" s="57" t="s">
        <v>3691</v>
      </c>
      <c r="E1280" s="57"/>
      <c r="F1280" s="58">
        <v>20600.0</v>
      </c>
      <c r="G1280" s="57" t="s">
        <v>467</v>
      </c>
      <c r="H1280" s="59" t="s">
        <v>594</v>
      </c>
      <c r="I1280" s="59" t="s">
        <v>3559</v>
      </c>
      <c r="J1280" s="61" t="s">
        <v>3560</v>
      </c>
      <c r="K1280" s="67">
        <v>25600.0</v>
      </c>
      <c r="L1280" s="42"/>
      <c r="M1280" s="42"/>
      <c r="N1280" s="42"/>
      <c r="O1280" s="42"/>
      <c r="P1280" s="42"/>
      <c r="Q1280" s="42"/>
      <c r="R1280" s="42"/>
      <c r="S1280" s="42"/>
      <c r="T1280" s="42"/>
      <c r="U1280" s="42"/>
      <c r="V1280" s="42"/>
      <c r="W1280" s="42"/>
      <c r="X1280" s="42"/>
      <c r="Y1280" s="42"/>
      <c r="Z1280" s="42"/>
    </row>
    <row r="1281" ht="142.5" customHeight="1">
      <c r="A1281" s="57" t="s">
        <v>3590</v>
      </c>
      <c r="B1281" s="57" t="s">
        <v>227</v>
      </c>
      <c r="C1281" s="57" t="s">
        <v>3692</v>
      </c>
      <c r="D1281" s="57" t="s">
        <v>3693</v>
      </c>
      <c r="E1281" s="57" t="s">
        <v>3686</v>
      </c>
      <c r="F1281" s="58">
        <v>22700.0</v>
      </c>
      <c r="G1281" s="57" t="s">
        <v>467</v>
      </c>
      <c r="H1281" s="59" t="s">
        <v>594</v>
      </c>
      <c r="I1281" s="59" t="s">
        <v>3490</v>
      </c>
      <c r="J1281" s="61" t="s">
        <v>3687</v>
      </c>
      <c r="K1281" s="67">
        <v>25263.0</v>
      </c>
      <c r="L1281" s="42"/>
      <c r="M1281" s="42"/>
      <c r="N1281" s="42"/>
      <c r="O1281" s="42"/>
      <c r="P1281" s="42"/>
      <c r="Q1281" s="42"/>
      <c r="R1281" s="42"/>
      <c r="S1281" s="42"/>
      <c r="T1281" s="42"/>
      <c r="U1281" s="42"/>
      <c r="V1281" s="42"/>
      <c r="W1281" s="42"/>
      <c r="X1281" s="42"/>
      <c r="Y1281" s="42"/>
      <c r="Z1281" s="42"/>
    </row>
    <row r="1282" ht="57.0" customHeight="1">
      <c r="A1282" s="57" t="s">
        <v>3590</v>
      </c>
      <c r="B1282" s="57" t="s">
        <v>227</v>
      </c>
      <c r="C1282" s="57" t="s">
        <v>3694</v>
      </c>
      <c r="D1282" s="57" t="s">
        <v>3695</v>
      </c>
      <c r="E1282" s="57"/>
      <c r="F1282" s="58">
        <v>22600.0</v>
      </c>
      <c r="G1282" s="57" t="s">
        <v>467</v>
      </c>
      <c r="H1282" s="59" t="s">
        <v>594</v>
      </c>
      <c r="I1282" s="59" t="s">
        <v>3559</v>
      </c>
      <c r="J1282" s="61" t="s">
        <v>3560</v>
      </c>
      <c r="K1282" s="67">
        <v>25600.0</v>
      </c>
      <c r="L1282" s="42"/>
      <c r="M1282" s="42"/>
      <c r="N1282" s="42"/>
      <c r="O1282" s="42"/>
      <c r="P1282" s="42"/>
      <c r="Q1282" s="42"/>
      <c r="R1282" s="42"/>
      <c r="S1282" s="42"/>
      <c r="T1282" s="42"/>
      <c r="U1282" s="42"/>
      <c r="V1282" s="42"/>
      <c r="W1282" s="42"/>
      <c r="X1282" s="42"/>
      <c r="Y1282" s="42"/>
      <c r="Z1282" s="42"/>
    </row>
    <row r="1283" ht="85.5" customHeight="1">
      <c r="A1283" s="57" t="s">
        <v>3590</v>
      </c>
      <c r="B1283" s="57" t="s">
        <v>227</v>
      </c>
      <c r="C1283" s="57" t="s">
        <v>3696</v>
      </c>
      <c r="D1283" s="57" t="s">
        <v>3697</v>
      </c>
      <c r="E1283" s="57" t="s">
        <v>3698</v>
      </c>
      <c r="F1283" s="58">
        <v>22000.0</v>
      </c>
      <c r="G1283" s="57" t="s">
        <v>251</v>
      </c>
      <c r="H1283" s="59" t="s">
        <v>594</v>
      </c>
      <c r="I1283" s="59" t="s">
        <v>2980</v>
      </c>
      <c r="J1283" s="61" t="s">
        <v>3699</v>
      </c>
      <c r="K1283" s="67">
        <v>25628.0</v>
      </c>
      <c r="L1283" s="42"/>
      <c r="M1283" s="42"/>
      <c r="N1283" s="42"/>
      <c r="O1283" s="42"/>
      <c r="P1283" s="42"/>
      <c r="Q1283" s="42"/>
      <c r="R1283" s="42"/>
      <c r="S1283" s="42"/>
      <c r="T1283" s="42"/>
      <c r="U1283" s="42"/>
      <c r="V1283" s="42"/>
      <c r="W1283" s="42"/>
      <c r="X1283" s="42"/>
      <c r="Y1283" s="42"/>
      <c r="Z1283" s="42"/>
    </row>
    <row r="1284" ht="142.5" customHeight="1">
      <c r="A1284" s="57" t="s">
        <v>3590</v>
      </c>
      <c r="B1284" s="57" t="s">
        <v>227</v>
      </c>
      <c r="C1284" s="57" t="s">
        <v>3700</v>
      </c>
      <c r="D1284" s="57" t="s">
        <v>3701</v>
      </c>
      <c r="E1284" s="57" t="s">
        <v>3702</v>
      </c>
      <c r="F1284" s="58">
        <v>22800.0</v>
      </c>
      <c r="G1284" s="57" t="s">
        <v>467</v>
      </c>
      <c r="H1284" s="59" t="s">
        <v>594</v>
      </c>
      <c r="I1284" s="59" t="s">
        <v>3559</v>
      </c>
      <c r="J1284" s="61" t="s">
        <v>2973</v>
      </c>
      <c r="K1284" s="67">
        <v>25600.0</v>
      </c>
      <c r="L1284" s="42"/>
      <c r="M1284" s="42"/>
      <c r="N1284" s="42"/>
      <c r="O1284" s="42"/>
      <c r="P1284" s="42"/>
      <c r="Q1284" s="42"/>
      <c r="R1284" s="42"/>
      <c r="S1284" s="42"/>
      <c r="T1284" s="42"/>
      <c r="U1284" s="42"/>
      <c r="V1284" s="42"/>
      <c r="W1284" s="42"/>
      <c r="X1284" s="42"/>
      <c r="Y1284" s="42"/>
      <c r="Z1284" s="42"/>
    </row>
    <row r="1285" ht="85.5" customHeight="1">
      <c r="A1285" s="57" t="s">
        <v>3590</v>
      </c>
      <c r="B1285" s="57" t="s">
        <v>227</v>
      </c>
      <c r="C1285" s="57" t="s">
        <v>3703</v>
      </c>
      <c r="D1285" s="57" t="s">
        <v>3704</v>
      </c>
      <c r="E1285" s="57" t="s">
        <v>3705</v>
      </c>
      <c r="F1285" s="58">
        <v>26000.0</v>
      </c>
      <c r="G1285" s="57" t="s">
        <v>467</v>
      </c>
      <c r="H1285" s="59" t="s">
        <v>594</v>
      </c>
      <c r="I1285" s="59" t="s">
        <v>3706</v>
      </c>
      <c r="J1285" s="61" t="s">
        <v>3707</v>
      </c>
      <c r="K1285" s="67">
        <v>25235.0</v>
      </c>
      <c r="L1285" s="42"/>
      <c r="M1285" s="42"/>
      <c r="N1285" s="42"/>
      <c r="O1285" s="42"/>
      <c r="P1285" s="42"/>
      <c r="Q1285" s="42"/>
      <c r="R1285" s="42"/>
      <c r="S1285" s="42"/>
      <c r="T1285" s="42"/>
      <c r="U1285" s="42"/>
      <c r="V1285" s="42"/>
      <c r="W1285" s="42"/>
      <c r="X1285" s="42"/>
      <c r="Y1285" s="42"/>
      <c r="Z1285" s="42"/>
    </row>
    <row r="1286" ht="85.5" customHeight="1">
      <c r="A1286" s="57" t="s">
        <v>3590</v>
      </c>
      <c r="B1286" s="57" t="s">
        <v>227</v>
      </c>
      <c r="C1286" s="57" t="s">
        <v>3708</v>
      </c>
      <c r="D1286" s="57" t="s">
        <v>3709</v>
      </c>
      <c r="E1286" s="57" t="s">
        <v>3705</v>
      </c>
      <c r="F1286" s="58">
        <v>26000.0</v>
      </c>
      <c r="G1286" s="57" t="s">
        <v>467</v>
      </c>
      <c r="H1286" s="59" t="s">
        <v>594</v>
      </c>
      <c r="I1286" s="59" t="s">
        <v>3706</v>
      </c>
      <c r="J1286" s="61" t="s">
        <v>3707</v>
      </c>
      <c r="K1286" s="67">
        <v>25235.0</v>
      </c>
      <c r="L1286" s="42"/>
      <c r="M1286" s="42"/>
      <c r="N1286" s="42"/>
      <c r="O1286" s="42"/>
      <c r="P1286" s="42"/>
      <c r="Q1286" s="42"/>
      <c r="R1286" s="42"/>
      <c r="S1286" s="42"/>
      <c r="T1286" s="42"/>
      <c r="U1286" s="42"/>
      <c r="V1286" s="42"/>
      <c r="W1286" s="42"/>
      <c r="X1286" s="42"/>
      <c r="Y1286" s="42"/>
      <c r="Z1286" s="42"/>
    </row>
    <row r="1287" ht="85.5" customHeight="1">
      <c r="A1287" s="57" t="s">
        <v>3590</v>
      </c>
      <c r="B1287" s="57" t="s">
        <v>227</v>
      </c>
      <c r="C1287" s="57" t="s">
        <v>3710</v>
      </c>
      <c r="D1287" s="57" t="s">
        <v>3711</v>
      </c>
      <c r="E1287" s="57"/>
      <c r="F1287" s="58">
        <v>25000.0</v>
      </c>
      <c r="G1287" s="57" t="s">
        <v>467</v>
      </c>
      <c r="H1287" s="59" t="s">
        <v>594</v>
      </c>
      <c r="I1287" s="59" t="s">
        <v>3682</v>
      </c>
      <c r="J1287" s="61" t="s">
        <v>3683</v>
      </c>
      <c r="K1287" s="67">
        <v>25659.0</v>
      </c>
      <c r="L1287" s="42"/>
      <c r="M1287" s="42"/>
      <c r="N1287" s="42"/>
      <c r="O1287" s="42"/>
      <c r="P1287" s="42"/>
      <c r="Q1287" s="42"/>
      <c r="R1287" s="42"/>
      <c r="S1287" s="42"/>
      <c r="T1287" s="42"/>
      <c r="U1287" s="42"/>
      <c r="V1287" s="42"/>
      <c r="W1287" s="42"/>
      <c r="X1287" s="42"/>
      <c r="Y1287" s="42"/>
      <c r="Z1287" s="42"/>
    </row>
    <row r="1288" ht="85.5" customHeight="1">
      <c r="A1288" s="57" t="s">
        <v>3590</v>
      </c>
      <c r="B1288" s="57" t="s">
        <v>227</v>
      </c>
      <c r="C1288" s="57" t="s">
        <v>3712</v>
      </c>
      <c r="D1288" s="57" t="s">
        <v>3713</v>
      </c>
      <c r="E1288" s="57"/>
      <c r="F1288" s="58">
        <v>25000.0</v>
      </c>
      <c r="G1288" s="57" t="s">
        <v>467</v>
      </c>
      <c r="H1288" s="59" t="s">
        <v>594</v>
      </c>
      <c r="I1288" s="59" t="s">
        <v>3682</v>
      </c>
      <c r="J1288" s="61" t="s">
        <v>3683</v>
      </c>
      <c r="K1288" s="67">
        <v>25659.0</v>
      </c>
      <c r="L1288" s="42"/>
      <c r="M1288" s="42"/>
      <c r="N1288" s="42"/>
      <c r="O1288" s="42"/>
      <c r="P1288" s="42"/>
      <c r="Q1288" s="42"/>
      <c r="R1288" s="42"/>
      <c r="S1288" s="42"/>
      <c r="T1288" s="42"/>
      <c r="U1288" s="42"/>
      <c r="V1288" s="42"/>
      <c r="W1288" s="42"/>
      <c r="X1288" s="42"/>
      <c r="Y1288" s="42"/>
      <c r="Z1288" s="42"/>
    </row>
    <row r="1289" ht="142.5" customHeight="1">
      <c r="A1289" s="57" t="s">
        <v>3590</v>
      </c>
      <c r="B1289" s="57" t="s">
        <v>227</v>
      </c>
      <c r="C1289" s="57" t="s">
        <v>3714</v>
      </c>
      <c r="D1289" s="57" t="s">
        <v>3715</v>
      </c>
      <c r="E1289" s="57" t="s">
        <v>3716</v>
      </c>
      <c r="F1289" s="58">
        <v>24500.0</v>
      </c>
      <c r="G1289" s="57" t="s">
        <v>467</v>
      </c>
      <c r="H1289" s="59" t="s">
        <v>594</v>
      </c>
      <c r="I1289" s="59" t="s">
        <v>3559</v>
      </c>
      <c r="J1289" s="61" t="s">
        <v>2973</v>
      </c>
      <c r="K1289" s="67">
        <v>25600.0</v>
      </c>
      <c r="L1289" s="42"/>
      <c r="M1289" s="42"/>
      <c r="N1289" s="42"/>
      <c r="O1289" s="42"/>
      <c r="P1289" s="42"/>
      <c r="Q1289" s="42"/>
      <c r="R1289" s="42"/>
      <c r="S1289" s="42"/>
      <c r="T1289" s="42"/>
      <c r="U1289" s="42"/>
      <c r="V1289" s="42"/>
      <c r="W1289" s="42"/>
      <c r="X1289" s="42"/>
      <c r="Y1289" s="42"/>
      <c r="Z1289" s="42"/>
    </row>
    <row r="1290" ht="57.0" customHeight="1">
      <c r="A1290" s="57" t="s">
        <v>3590</v>
      </c>
      <c r="B1290" s="57" t="s">
        <v>227</v>
      </c>
      <c r="C1290" s="57" t="s">
        <v>3717</v>
      </c>
      <c r="D1290" s="57" t="s">
        <v>3718</v>
      </c>
      <c r="E1290" s="57"/>
      <c r="F1290" s="58">
        <v>26400.0</v>
      </c>
      <c r="G1290" s="57" t="s">
        <v>467</v>
      </c>
      <c r="H1290" s="59" t="s">
        <v>594</v>
      </c>
      <c r="I1290" s="59" t="s">
        <v>3559</v>
      </c>
      <c r="J1290" s="61" t="s">
        <v>3560</v>
      </c>
      <c r="K1290" s="67">
        <v>25600.0</v>
      </c>
      <c r="L1290" s="42"/>
      <c r="M1290" s="42"/>
      <c r="N1290" s="42"/>
      <c r="O1290" s="42"/>
      <c r="P1290" s="42"/>
      <c r="Q1290" s="42"/>
      <c r="R1290" s="42"/>
      <c r="S1290" s="42"/>
      <c r="T1290" s="42"/>
      <c r="U1290" s="42"/>
      <c r="V1290" s="42"/>
      <c r="W1290" s="42"/>
      <c r="X1290" s="42"/>
      <c r="Y1290" s="42"/>
      <c r="Z1290" s="42"/>
    </row>
    <row r="1291" ht="85.5" customHeight="1">
      <c r="A1291" s="57" t="s">
        <v>3590</v>
      </c>
      <c r="B1291" s="57" t="s">
        <v>227</v>
      </c>
      <c r="C1291" s="57" t="s">
        <v>3719</v>
      </c>
      <c r="D1291" s="57" t="s">
        <v>3720</v>
      </c>
      <c r="E1291" s="57"/>
      <c r="F1291" s="58">
        <v>25400.0</v>
      </c>
      <c r="G1291" s="57" t="s">
        <v>467</v>
      </c>
      <c r="H1291" s="59" t="s">
        <v>594</v>
      </c>
      <c r="I1291" s="59" t="s">
        <v>3682</v>
      </c>
      <c r="J1291" s="61" t="s">
        <v>3683</v>
      </c>
      <c r="K1291" s="67">
        <v>25659.0</v>
      </c>
      <c r="L1291" s="42"/>
      <c r="M1291" s="42"/>
      <c r="N1291" s="42"/>
      <c r="O1291" s="42"/>
      <c r="P1291" s="42"/>
      <c r="Q1291" s="42"/>
      <c r="R1291" s="42"/>
      <c r="S1291" s="42"/>
      <c r="T1291" s="42"/>
      <c r="U1291" s="42"/>
      <c r="V1291" s="42"/>
      <c r="W1291" s="42"/>
      <c r="X1291" s="42"/>
      <c r="Y1291" s="42"/>
      <c r="Z1291" s="42"/>
    </row>
    <row r="1292" ht="142.5" customHeight="1">
      <c r="A1292" s="57" t="s">
        <v>3590</v>
      </c>
      <c r="B1292" s="57" t="s">
        <v>227</v>
      </c>
      <c r="C1292" s="57" t="s">
        <v>3721</v>
      </c>
      <c r="D1292" s="57" t="s">
        <v>3722</v>
      </c>
      <c r="E1292" s="57" t="s">
        <v>3686</v>
      </c>
      <c r="F1292" s="58">
        <v>27900.0</v>
      </c>
      <c r="G1292" s="57" t="s">
        <v>467</v>
      </c>
      <c r="H1292" s="59" t="s">
        <v>594</v>
      </c>
      <c r="I1292" s="59" t="s">
        <v>3490</v>
      </c>
      <c r="J1292" s="61" t="s">
        <v>3687</v>
      </c>
      <c r="K1292" s="67">
        <v>25263.0</v>
      </c>
      <c r="L1292" s="42"/>
      <c r="M1292" s="42"/>
      <c r="N1292" s="42"/>
      <c r="O1292" s="42"/>
      <c r="P1292" s="42"/>
      <c r="Q1292" s="42"/>
      <c r="R1292" s="42"/>
      <c r="S1292" s="42"/>
      <c r="T1292" s="42"/>
      <c r="U1292" s="42"/>
      <c r="V1292" s="42"/>
      <c r="W1292" s="42"/>
      <c r="X1292" s="42"/>
      <c r="Y1292" s="42"/>
      <c r="Z1292" s="42"/>
    </row>
    <row r="1293" ht="142.5" customHeight="1">
      <c r="A1293" s="57" t="s">
        <v>3590</v>
      </c>
      <c r="B1293" s="57" t="s">
        <v>227</v>
      </c>
      <c r="C1293" s="57" t="s">
        <v>3723</v>
      </c>
      <c r="D1293" s="57" t="s">
        <v>3724</v>
      </c>
      <c r="E1293" s="57" t="s">
        <v>3716</v>
      </c>
      <c r="F1293" s="58">
        <v>29000.0</v>
      </c>
      <c r="G1293" s="57" t="s">
        <v>467</v>
      </c>
      <c r="H1293" s="59" t="s">
        <v>594</v>
      </c>
      <c r="I1293" s="59" t="s">
        <v>3559</v>
      </c>
      <c r="J1293" s="61" t="s">
        <v>2973</v>
      </c>
      <c r="K1293" s="67">
        <v>25600.0</v>
      </c>
      <c r="L1293" s="42"/>
      <c r="M1293" s="42"/>
      <c r="N1293" s="42"/>
      <c r="O1293" s="42"/>
      <c r="P1293" s="42"/>
      <c r="Q1293" s="42"/>
      <c r="R1293" s="42"/>
      <c r="S1293" s="42"/>
      <c r="T1293" s="42"/>
      <c r="U1293" s="42"/>
      <c r="V1293" s="42"/>
      <c r="W1293" s="42"/>
      <c r="X1293" s="42"/>
      <c r="Y1293" s="42"/>
      <c r="Z1293" s="42"/>
    </row>
    <row r="1294" ht="85.5" customHeight="1">
      <c r="A1294" s="57" t="s">
        <v>3590</v>
      </c>
      <c r="B1294" s="57" t="s">
        <v>227</v>
      </c>
      <c r="C1294" s="57" t="s">
        <v>3725</v>
      </c>
      <c r="D1294" s="57" t="s">
        <v>3726</v>
      </c>
      <c r="E1294" s="57"/>
      <c r="F1294" s="58">
        <v>29400.0</v>
      </c>
      <c r="G1294" s="57" t="s">
        <v>467</v>
      </c>
      <c r="H1294" s="59" t="s">
        <v>594</v>
      </c>
      <c r="I1294" s="59" t="s">
        <v>3682</v>
      </c>
      <c r="J1294" s="61" t="s">
        <v>3683</v>
      </c>
      <c r="K1294" s="67">
        <v>25659.0</v>
      </c>
      <c r="L1294" s="42"/>
      <c r="M1294" s="42"/>
      <c r="N1294" s="42"/>
      <c r="O1294" s="42"/>
      <c r="P1294" s="42"/>
      <c r="Q1294" s="42"/>
      <c r="R1294" s="42"/>
      <c r="S1294" s="42"/>
      <c r="T1294" s="42"/>
      <c r="U1294" s="42"/>
      <c r="V1294" s="42"/>
      <c r="W1294" s="42"/>
      <c r="X1294" s="42"/>
      <c r="Y1294" s="42"/>
      <c r="Z1294" s="42"/>
    </row>
    <row r="1295" ht="142.5" customHeight="1">
      <c r="A1295" s="57" t="s">
        <v>3590</v>
      </c>
      <c r="B1295" s="57" t="s">
        <v>227</v>
      </c>
      <c r="C1295" s="57" t="s">
        <v>3727</v>
      </c>
      <c r="D1295" s="57" t="s">
        <v>3728</v>
      </c>
      <c r="E1295" s="57" t="s">
        <v>3686</v>
      </c>
      <c r="F1295" s="58">
        <v>31200.0</v>
      </c>
      <c r="G1295" s="57" t="s">
        <v>467</v>
      </c>
      <c r="H1295" s="59" t="s">
        <v>594</v>
      </c>
      <c r="I1295" s="59" t="s">
        <v>3490</v>
      </c>
      <c r="J1295" s="61" t="s">
        <v>3687</v>
      </c>
      <c r="K1295" s="67">
        <v>25263.0</v>
      </c>
      <c r="L1295" s="42"/>
      <c r="M1295" s="42"/>
      <c r="N1295" s="42"/>
      <c r="O1295" s="42"/>
      <c r="P1295" s="42"/>
      <c r="Q1295" s="42"/>
      <c r="R1295" s="42"/>
      <c r="S1295" s="42"/>
      <c r="T1295" s="42"/>
      <c r="U1295" s="42"/>
      <c r="V1295" s="42"/>
      <c r="W1295" s="42"/>
      <c r="X1295" s="42"/>
      <c r="Y1295" s="42"/>
      <c r="Z1295" s="42"/>
    </row>
    <row r="1296" ht="57.0" customHeight="1">
      <c r="A1296" s="57" t="s">
        <v>3590</v>
      </c>
      <c r="B1296" s="57" t="s">
        <v>227</v>
      </c>
      <c r="C1296" s="57" t="s">
        <v>3729</v>
      </c>
      <c r="D1296" s="57" t="s">
        <v>3730</v>
      </c>
      <c r="E1296" s="57"/>
      <c r="F1296" s="58">
        <v>29300.0</v>
      </c>
      <c r="G1296" s="57" t="s">
        <v>467</v>
      </c>
      <c r="H1296" s="59" t="s">
        <v>594</v>
      </c>
      <c r="I1296" s="59" t="s">
        <v>3559</v>
      </c>
      <c r="J1296" s="61" t="s">
        <v>3560</v>
      </c>
      <c r="K1296" s="67">
        <v>25600.0</v>
      </c>
      <c r="L1296" s="42"/>
      <c r="M1296" s="42"/>
      <c r="N1296" s="42"/>
      <c r="O1296" s="42"/>
      <c r="P1296" s="42"/>
      <c r="Q1296" s="42"/>
      <c r="R1296" s="42"/>
      <c r="S1296" s="42"/>
      <c r="T1296" s="42"/>
      <c r="U1296" s="42"/>
      <c r="V1296" s="42"/>
      <c r="W1296" s="42"/>
      <c r="X1296" s="42"/>
      <c r="Y1296" s="42"/>
      <c r="Z1296" s="42"/>
    </row>
    <row r="1297" ht="85.5" customHeight="1">
      <c r="A1297" s="57" t="s">
        <v>3590</v>
      </c>
      <c r="B1297" s="57" t="s">
        <v>227</v>
      </c>
      <c r="C1297" s="57" t="s">
        <v>3731</v>
      </c>
      <c r="D1297" s="57" t="s">
        <v>3732</v>
      </c>
      <c r="E1297" s="57"/>
      <c r="F1297" s="58">
        <v>30900.0</v>
      </c>
      <c r="G1297" s="57" t="s">
        <v>467</v>
      </c>
      <c r="H1297" s="59" t="s">
        <v>594</v>
      </c>
      <c r="I1297" s="59" t="s">
        <v>3682</v>
      </c>
      <c r="J1297" s="61" t="s">
        <v>3683</v>
      </c>
      <c r="K1297" s="67">
        <v>25659.0</v>
      </c>
      <c r="L1297" s="42"/>
      <c r="M1297" s="42"/>
      <c r="N1297" s="42"/>
      <c r="O1297" s="42"/>
      <c r="P1297" s="42"/>
      <c r="Q1297" s="42"/>
      <c r="R1297" s="42"/>
      <c r="S1297" s="42"/>
      <c r="T1297" s="42"/>
      <c r="U1297" s="42"/>
      <c r="V1297" s="42"/>
      <c r="W1297" s="42"/>
      <c r="X1297" s="42"/>
      <c r="Y1297" s="42"/>
      <c r="Z1297" s="42"/>
    </row>
    <row r="1298" ht="142.5" customHeight="1">
      <c r="A1298" s="57" t="s">
        <v>3590</v>
      </c>
      <c r="B1298" s="57" t="s">
        <v>227</v>
      </c>
      <c r="C1298" s="57" t="s">
        <v>3733</v>
      </c>
      <c r="D1298" s="57" t="s">
        <v>3734</v>
      </c>
      <c r="E1298" s="57" t="s">
        <v>3716</v>
      </c>
      <c r="F1298" s="58">
        <v>31900.0</v>
      </c>
      <c r="G1298" s="57" t="s">
        <v>467</v>
      </c>
      <c r="H1298" s="59" t="s">
        <v>594</v>
      </c>
      <c r="I1298" s="59" t="s">
        <v>3559</v>
      </c>
      <c r="J1298" s="61" t="s">
        <v>2973</v>
      </c>
      <c r="K1298" s="67">
        <v>25600.0</v>
      </c>
      <c r="L1298" s="42"/>
      <c r="M1298" s="42"/>
      <c r="N1298" s="42"/>
      <c r="O1298" s="42"/>
      <c r="P1298" s="42"/>
      <c r="Q1298" s="42"/>
      <c r="R1298" s="42"/>
      <c r="S1298" s="42"/>
      <c r="T1298" s="42"/>
      <c r="U1298" s="42"/>
      <c r="V1298" s="42"/>
      <c r="W1298" s="42"/>
      <c r="X1298" s="42"/>
      <c r="Y1298" s="42"/>
      <c r="Z1298" s="42"/>
    </row>
    <row r="1299" ht="85.5" customHeight="1">
      <c r="A1299" s="57" t="s">
        <v>3590</v>
      </c>
      <c r="B1299" s="57" t="s">
        <v>227</v>
      </c>
      <c r="C1299" s="57" t="s">
        <v>3735</v>
      </c>
      <c r="D1299" s="57" t="s">
        <v>3736</v>
      </c>
      <c r="E1299" s="57"/>
      <c r="F1299" s="58">
        <v>33000.0</v>
      </c>
      <c r="G1299" s="57" t="s">
        <v>467</v>
      </c>
      <c r="H1299" s="59" t="s">
        <v>594</v>
      </c>
      <c r="I1299" s="59" t="s">
        <v>3682</v>
      </c>
      <c r="J1299" s="61" t="s">
        <v>3683</v>
      </c>
      <c r="K1299" s="67">
        <v>25659.0</v>
      </c>
      <c r="L1299" s="42"/>
      <c r="M1299" s="42"/>
      <c r="N1299" s="42"/>
      <c r="O1299" s="42"/>
      <c r="P1299" s="42"/>
      <c r="Q1299" s="42"/>
      <c r="R1299" s="42"/>
      <c r="S1299" s="42"/>
      <c r="T1299" s="42"/>
      <c r="U1299" s="42"/>
      <c r="V1299" s="42"/>
      <c r="W1299" s="42"/>
      <c r="X1299" s="42"/>
      <c r="Y1299" s="42"/>
      <c r="Z1299" s="42"/>
    </row>
    <row r="1300" ht="199.5" customHeight="1">
      <c r="A1300" s="57" t="s">
        <v>3590</v>
      </c>
      <c r="B1300" s="57" t="s">
        <v>227</v>
      </c>
      <c r="C1300" s="57" t="s">
        <v>3737</v>
      </c>
      <c r="D1300" s="57" t="s">
        <v>3738</v>
      </c>
      <c r="E1300" s="57" t="s">
        <v>3739</v>
      </c>
      <c r="F1300" s="58">
        <v>34400.0</v>
      </c>
      <c r="G1300" s="57" t="s">
        <v>467</v>
      </c>
      <c r="H1300" s="59" t="s">
        <v>594</v>
      </c>
      <c r="I1300" s="59" t="s">
        <v>595</v>
      </c>
      <c r="J1300" s="57" t="s">
        <v>3740</v>
      </c>
      <c r="K1300" s="67">
        <v>26054.0</v>
      </c>
      <c r="L1300" s="42"/>
      <c r="M1300" s="42"/>
      <c r="N1300" s="42"/>
      <c r="O1300" s="42"/>
      <c r="P1300" s="42"/>
      <c r="Q1300" s="42"/>
      <c r="R1300" s="42"/>
      <c r="S1300" s="42"/>
      <c r="T1300" s="42"/>
      <c r="U1300" s="42"/>
      <c r="V1300" s="42"/>
      <c r="W1300" s="42"/>
      <c r="X1300" s="42"/>
      <c r="Y1300" s="42"/>
      <c r="Z1300" s="42"/>
    </row>
    <row r="1301" ht="57.0" customHeight="1">
      <c r="A1301" s="57" t="s">
        <v>3590</v>
      </c>
      <c r="B1301" s="57" t="s">
        <v>227</v>
      </c>
      <c r="C1301" s="57" t="s">
        <v>3741</v>
      </c>
      <c r="D1301" s="57" t="s">
        <v>3742</v>
      </c>
      <c r="E1301" s="57"/>
      <c r="F1301" s="58">
        <v>34600.0</v>
      </c>
      <c r="G1301" s="57" t="s">
        <v>467</v>
      </c>
      <c r="H1301" s="59" t="s">
        <v>594</v>
      </c>
      <c r="I1301" s="59" t="s">
        <v>3559</v>
      </c>
      <c r="J1301" s="61" t="s">
        <v>3560</v>
      </c>
      <c r="K1301" s="67">
        <v>25600.0</v>
      </c>
      <c r="L1301" s="42"/>
      <c r="M1301" s="42"/>
      <c r="N1301" s="42"/>
      <c r="O1301" s="42"/>
      <c r="P1301" s="42"/>
      <c r="Q1301" s="42"/>
      <c r="R1301" s="42"/>
      <c r="S1301" s="42"/>
      <c r="T1301" s="42"/>
      <c r="U1301" s="42"/>
      <c r="V1301" s="42"/>
      <c r="W1301" s="42"/>
      <c r="X1301" s="42"/>
      <c r="Y1301" s="42"/>
      <c r="Z1301" s="42"/>
    </row>
    <row r="1302" ht="142.5" customHeight="1">
      <c r="A1302" s="57" t="s">
        <v>3590</v>
      </c>
      <c r="B1302" s="57" t="s">
        <v>227</v>
      </c>
      <c r="C1302" s="57" t="s">
        <v>3743</v>
      </c>
      <c r="D1302" s="57" t="s">
        <v>3744</v>
      </c>
      <c r="E1302" s="57" t="s">
        <v>3686</v>
      </c>
      <c r="F1302" s="58">
        <v>37900.0</v>
      </c>
      <c r="G1302" s="57" t="s">
        <v>467</v>
      </c>
      <c r="H1302" s="59" t="s">
        <v>594</v>
      </c>
      <c r="I1302" s="59" t="s">
        <v>3490</v>
      </c>
      <c r="J1302" s="61" t="s">
        <v>3687</v>
      </c>
      <c r="K1302" s="67">
        <v>25263.0</v>
      </c>
      <c r="L1302" s="42"/>
      <c r="M1302" s="42"/>
      <c r="N1302" s="42"/>
      <c r="O1302" s="42"/>
      <c r="P1302" s="42"/>
      <c r="Q1302" s="42"/>
      <c r="R1302" s="42"/>
      <c r="S1302" s="42"/>
      <c r="T1302" s="42"/>
      <c r="U1302" s="42"/>
      <c r="V1302" s="42"/>
      <c r="W1302" s="42"/>
      <c r="X1302" s="42"/>
      <c r="Y1302" s="42"/>
      <c r="Z1302" s="42"/>
    </row>
    <row r="1303" ht="142.5" customHeight="1">
      <c r="A1303" s="57" t="s">
        <v>3590</v>
      </c>
      <c r="B1303" s="57" t="s">
        <v>227</v>
      </c>
      <c r="C1303" s="57" t="s">
        <v>3745</v>
      </c>
      <c r="D1303" s="57" t="s">
        <v>3746</v>
      </c>
      <c r="E1303" s="57" t="s">
        <v>3716</v>
      </c>
      <c r="F1303" s="58">
        <v>36000.0</v>
      </c>
      <c r="G1303" s="57" t="s">
        <v>467</v>
      </c>
      <c r="H1303" s="59" t="s">
        <v>594</v>
      </c>
      <c r="I1303" s="59" t="s">
        <v>3559</v>
      </c>
      <c r="J1303" s="61" t="s">
        <v>2973</v>
      </c>
      <c r="K1303" s="67">
        <v>25600.0</v>
      </c>
      <c r="L1303" s="42"/>
      <c r="M1303" s="42"/>
      <c r="N1303" s="42"/>
      <c r="O1303" s="42"/>
      <c r="P1303" s="42"/>
      <c r="Q1303" s="42"/>
      <c r="R1303" s="42"/>
      <c r="S1303" s="42"/>
      <c r="T1303" s="42"/>
      <c r="U1303" s="42"/>
      <c r="V1303" s="42"/>
      <c r="W1303" s="42"/>
      <c r="X1303" s="42"/>
      <c r="Y1303" s="42"/>
      <c r="Z1303" s="42"/>
    </row>
    <row r="1304" ht="85.5" customHeight="1">
      <c r="A1304" s="57" t="s">
        <v>3590</v>
      </c>
      <c r="B1304" s="57" t="s">
        <v>227</v>
      </c>
      <c r="C1304" s="57" t="s">
        <v>3747</v>
      </c>
      <c r="D1304" s="57" t="s">
        <v>3748</v>
      </c>
      <c r="E1304" s="57"/>
      <c r="F1304" s="58">
        <v>37400.0</v>
      </c>
      <c r="G1304" s="57" t="s">
        <v>467</v>
      </c>
      <c r="H1304" s="59" t="s">
        <v>594</v>
      </c>
      <c r="I1304" s="59" t="s">
        <v>3682</v>
      </c>
      <c r="J1304" s="61" t="s">
        <v>3683</v>
      </c>
      <c r="K1304" s="67">
        <v>25659.0</v>
      </c>
      <c r="L1304" s="42"/>
      <c r="M1304" s="42"/>
      <c r="N1304" s="42"/>
      <c r="O1304" s="42"/>
      <c r="P1304" s="42"/>
      <c r="Q1304" s="42"/>
      <c r="R1304" s="42"/>
      <c r="S1304" s="42"/>
      <c r="T1304" s="42"/>
      <c r="U1304" s="42"/>
      <c r="V1304" s="42"/>
      <c r="W1304" s="42"/>
      <c r="X1304" s="42"/>
      <c r="Y1304" s="42"/>
      <c r="Z1304" s="42"/>
    </row>
    <row r="1305" ht="57.0" customHeight="1">
      <c r="A1305" s="57" t="s">
        <v>3590</v>
      </c>
      <c r="B1305" s="57" t="s">
        <v>227</v>
      </c>
      <c r="C1305" s="57" t="s">
        <v>3749</v>
      </c>
      <c r="D1305" s="57" t="s">
        <v>3750</v>
      </c>
      <c r="E1305" s="57"/>
      <c r="F1305" s="58">
        <v>39000.0</v>
      </c>
      <c r="G1305" s="57" t="s">
        <v>467</v>
      </c>
      <c r="H1305" s="59" t="s">
        <v>594</v>
      </c>
      <c r="I1305" s="59" t="s">
        <v>3559</v>
      </c>
      <c r="J1305" s="61" t="s">
        <v>3560</v>
      </c>
      <c r="K1305" s="67">
        <v>25600.0</v>
      </c>
      <c r="L1305" s="42"/>
      <c r="M1305" s="42"/>
      <c r="N1305" s="42"/>
      <c r="O1305" s="42"/>
      <c r="P1305" s="42"/>
      <c r="Q1305" s="42"/>
      <c r="R1305" s="42"/>
      <c r="S1305" s="42"/>
      <c r="T1305" s="42"/>
      <c r="U1305" s="42"/>
      <c r="V1305" s="42"/>
      <c r="W1305" s="42"/>
      <c r="X1305" s="42"/>
      <c r="Y1305" s="42"/>
      <c r="Z1305" s="42"/>
    </row>
    <row r="1306" ht="142.5" customHeight="1">
      <c r="A1306" s="57" t="s">
        <v>3590</v>
      </c>
      <c r="B1306" s="57" t="s">
        <v>227</v>
      </c>
      <c r="C1306" s="57" t="s">
        <v>3751</v>
      </c>
      <c r="D1306" s="57" t="s">
        <v>3752</v>
      </c>
      <c r="E1306" s="57" t="s">
        <v>3686</v>
      </c>
      <c r="F1306" s="58">
        <v>42600.0</v>
      </c>
      <c r="G1306" s="57" t="s">
        <v>467</v>
      </c>
      <c r="H1306" s="59" t="s">
        <v>594</v>
      </c>
      <c r="I1306" s="59" t="s">
        <v>3490</v>
      </c>
      <c r="J1306" s="61" t="s">
        <v>3687</v>
      </c>
      <c r="K1306" s="67">
        <v>25263.0</v>
      </c>
      <c r="L1306" s="42"/>
      <c r="M1306" s="42"/>
      <c r="N1306" s="42"/>
      <c r="O1306" s="42"/>
      <c r="P1306" s="42"/>
      <c r="Q1306" s="42"/>
      <c r="R1306" s="42"/>
      <c r="S1306" s="42"/>
      <c r="T1306" s="42"/>
      <c r="U1306" s="42"/>
      <c r="V1306" s="42"/>
      <c r="W1306" s="42"/>
      <c r="X1306" s="42"/>
      <c r="Y1306" s="42"/>
      <c r="Z1306" s="42"/>
    </row>
    <row r="1307" ht="85.5" customHeight="1">
      <c r="A1307" s="57" t="s">
        <v>3590</v>
      </c>
      <c r="B1307" s="57" t="s">
        <v>227</v>
      </c>
      <c r="C1307" s="57" t="s">
        <v>3753</v>
      </c>
      <c r="D1307" s="57" t="s">
        <v>3754</v>
      </c>
      <c r="E1307" s="57"/>
      <c r="F1307" s="58">
        <v>40600.0</v>
      </c>
      <c r="G1307" s="57" t="s">
        <v>467</v>
      </c>
      <c r="H1307" s="59" t="s">
        <v>594</v>
      </c>
      <c r="I1307" s="59" t="s">
        <v>3682</v>
      </c>
      <c r="J1307" s="61" t="s">
        <v>3683</v>
      </c>
      <c r="K1307" s="67">
        <v>25659.0</v>
      </c>
      <c r="L1307" s="42"/>
      <c r="M1307" s="42"/>
      <c r="N1307" s="42"/>
      <c r="O1307" s="42"/>
      <c r="P1307" s="42"/>
      <c r="Q1307" s="42"/>
      <c r="R1307" s="42"/>
      <c r="S1307" s="42"/>
      <c r="T1307" s="42"/>
      <c r="U1307" s="42"/>
      <c r="V1307" s="42"/>
      <c r="W1307" s="42"/>
      <c r="X1307" s="42"/>
      <c r="Y1307" s="42"/>
      <c r="Z1307" s="42"/>
    </row>
    <row r="1308" ht="85.5" customHeight="1">
      <c r="A1308" s="57" t="s">
        <v>3590</v>
      </c>
      <c r="B1308" s="57" t="s">
        <v>227</v>
      </c>
      <c r="C1308" s="57" t="s">
        <v>3755</v>
      </c>
      <c r="D1308" s="57" t="s">
        <v>3756</v>
      </c>
      <c r="E1308" s="57"/>
      <c r="F1308" s="58">
        <v>40800.0</v>
      </c>
      <c r="G1308" s="57" t="s">
        <v>467</v>
      </c>
      <c r="H1308" s="59" t="s">
        <v>594</v>
      </c>
      <c r="I1308" s="59" t="s">
        <v>3682</v>
      </c>
      <c r="J1308" s="61" t="s">
        <v>3683</v>
      </c>
      <c r="K1308" s="67">
        <v>25659.0</v>
      </c>
      <c r="L1308" s="42"/>
      <c r="M1308" s="42"/>
      <c r="N1308" s="42"/>
      <c r="O1308" s="42"/>
      <c r="P1308" s="42"/>
      <c r="Q1308" s="42"/>
      <c r="R1308" s="42"/>
      <c r="S1308" s="42"/>
      <c r="T1308" s="42"/>
      <c r="U1308" s="42"/>
      <c r="V1308" s="42"/>
      <c r="W1308" s="42"/>
      <c r="X1308" s="42"/>
      <c r="Y1308" s="42"/>
      <c r="Z1308" s="42"/>
    </row>
    <row r="1309" ht="142.5" customHeight="1">
      <c r="A1309" s="57" t="s">
        <v>3590</v>
      </c>
      <c r="B1309" s="57" t="s">
        <v>227</v>
      </c>
      <c r="C1309" s="57" t="s">
        <v>3757</v>
      </c>
      <c r="D1309" s="57" t="s">
        <v>3758</v>
      </c>
      <c r="E1309" s="57" t="s">
        <v>3716</v>
      </c>
      <c r="F1309" s="58">
        <v>40900.0</v>
      </c>
      <c r="G1309" s="57" t="s">
        <v>467</v>
      </c>
      <c r="H1309" s="59" t="s">
        <v>594</v>
      </c>
      <c r="I1309" s="59" t="s">
        <v>3559</v>
      </c>
      <c r="J1309" s="61" t="s">
        <v>2973</v>
      </c>
      <c r="K1309" s="67">
        <v>25600.0</v>
      </c>
      <c r="L1309" s="42"/>
      <c r="M1309" s="42"/>
      <c r="N1309" s="42"/>
      <c r="O1309" s="42"/>
      <c r="P1309" s="42"/>
      <c r="Q1309" s="42"/>
      <c r="R1309" s="42"/>
      <c r="S1309" s="42"/>
      <c r="T1309" s="42"/>
      <c r="U1309" s="42"/>
      <c r="V1309" s="42"/>
      <c r="W1309" s="42"/>
      <c r="X1309" s="42"/>
      <c r="Y1309" s="42"/>
      <c r="Z1309" s="42"/>
    </row>
    <row r="1310" ht="199.5" customHeight="1">
      <c r="A1310" s="57" t="s">
        <v>3590</v>
      </c>
      <c r="B1310" s="57" t="s">
        <v>227</v>
      </c>
      <c r="C1310" s="57" t="s">
        <v>3759</v>
      </c>
      <c r="D1310" s="57" t="s">
        <v>3760</v>
      </c>
      <c r="E1310" s="57" t="s">
        <v>3739</v>
      </c>
      <c r="F1310" s="58">
        <v>39500.0</v>
      </c>
      <c r="G1310" s="57" t="s">
        <v>467</v>
      </c>
      <c r="H1310" s="59" t="s">
        <v>594</v>
      </c>
      <c r="I1310" s="59" t="s">
        <v>595</v>
      </c>
      <c r="J1310" s="57" t="s">
        <v>3740</v>
      </c>
      <c r="K1310" s="67">
        <v>26054.0</v>
      </c>
      <c r="L1310" s="42"/>
      <c r="M1310" s="42"/>
      <c r="N1310" s="42"/>
      <c r="O1310" s="42"/>
      <c r="P1310" s="42"/>
      <c r="Q1310" s="42"/>
      <c r="R1310" s="42"/>
      <c r="S1310" s="42"/>
      <c r="T1310" s="42"/>
      <c r="U1310" s="42"/>
      <c r="V1310" s="42"/>
      <c r="W1310" s="42"/>
      <c r="X1310" s="42"/>
      <c r="Y1310" s="42"/>
      <c r="Z1310" s="42"/>
    </row>
    <row r="1311" ht="85.5" customHeight="1">
      <c r="A1311" s="57" t="s">
        <v>3590</v>
      </c>
      <c r="B1311" s="57" t="s">
        <v>227</v>
      </c>
      <c r="C1311" s="57" t="s">
        <v>3761</v>
      </c>
      <c r="D1311" s="57" t="s">
        <v>3762</v>
      </c>
      <c r="E1311" s="57"/>
      <c r="F1311" s="58">
        <v>42800.0</v>
      </c>
      <c r="G1311" s="57" t="s">
        <v>467</v>
      </c>
      <c r="H1311" s="59" t="s">
        <v>594</v>
      </c>
      <c r="I1311" s="59" t="s">
        <v>3682</v>
      </c>
      <c r="J1311" s="61" t="s">
        <v>3683</v>
      </c>
      <c r="K1311" s="67">
        <v>25659.0</v>
      </c>
      <c r="L1311" s="42"/>
      <c r="M1311" s="42"/>
      <c r="N1311" s="42"/>
      <c r="O1311" s="42"/>
      <c r="P1311" s="42"/>
      <c r="Q1311" s="42"/>
      <c r="R1311" s="42"/>
      <c r="S1311" s="42"/>
      <c r="T1311" s="42"/>
      <c r="U1311" s="42"/>
      <c r="V1311" s="42"/>
      <c r="W1311" s="42"/>
      <c r="X1311" s="42"/>
      <c r="Y1311" s="42"/>
      <c r="Z1311" s="42"/>
    </row>
    <row r="1312" ht="57.0" customHeight="1">
      <c r="A1312" s="57" t="s">
        <v>3590</v>
      </c>
      <c r="B1312" s="57" t="s">
        <v>227</v>
      </c>
      <c r="C1312" s="57" t="s">
        <v>3763</v>
      </c>
      <c r="D1312" s="57" t="s">
        <v>3764</v>
      </c>
      <c r="E1312" s="57"/>
      <c r="F1312" s="58">
        <v>45700.0</v>
      </c>
      <c r="G1312" s="57" t="s">
        <v>467</v>
      </c>
      <c r="H1312" s="59" t="s">
        <v>594</v>
      </c>
      <c r="I1312" s="59" t="s">
        <v>3559</v>
      </c>
      <c r="J1312" s="61" t="s">
        <v>3560</v>
      </c>
      <c r="K1312" s="67">
        <v>25600.0</v>
      </c>
      <c r="L1312" s="42"/>
      <c r="M1312" s="42"/>
      <c r="N1312" s="42"/>
      <c r="O1312" s="42"/>
      <c r="P1312" s="42"/>
      <c r="Q1312" s="42"/>
      <c r="R1312" s="42"/>
      <c r="S1312" s="42"/>
      <c r="T1312" s="42"/>
      <c r="U1312" s="42"/>
      <c r="V1312" s="42"/>
      <c r="W1312" s="42"/>
      <c r="X1312" s="42"/>
      <c r="Y1312" s="42"/>
      <c r="Z1312" s="42"/>
    </row>
    <row r="1313" ht="142.5" customHeight="1">
      <c r="A1313" s="57" t="s">
        <v>3590</v>
      </c>
      <c r="B1313" s="57" t="s">
        <v>227</v>
      </c>
      <c r="C1313" s="57" t="s">
        <v>3765</v>
      </c>
      <c r="D1313" s="57" t="s">
        <v>3766</v>
      </c>
      <c r="E1313" s="57" t="s">
        <v>3702</v>
      </c>
      <c r="F1313" s="58">
        <v>47000.0</v>
      </c>
      <c r="G1313" s="57" t="s">
        <v>467</v>
      </c>
      <c r="H1313" s="59" t="s">
        <v>594</v>
      </c>
      <c r="I1313" s="59" t="s">
        <v>3559</v>
      </c>
      <c r="J1313" s="61" t="s">
        <v>2973</v>
      </c>
      <c r="K1313" s="67">
        <v>25600.0</v>
      </c>
      <c r="L1313" s="42"/>
      <c r="M1313" s="42"/>
      <c r="N1313" s="42"/>
      <c r="O1313" s="42"/>
      <c r="P1313" s="42"/>
      <c r="Q1313" s="42"/>
      <c r="R1313" s="42"/>
      <c r="S1313" s="42"/>
      <c r="T1313" s="42"/>
      <c r="U1313" s="42"/>
      <c r="V1313" s="42"/>
      <c r="W1313" s="42"/>
      <c r="X1313" s="42"/>
      <c r="Y1313" s="42"/>
      <c r="Z1313" s="42"/>
    </row>
    <row r="1314" ht="85.5" customHeight="1">
      <c r="A1314" s="57" t="s">
        <v>3590</v>
      </c>
      <c r="B1314" s="57" t="s">
        <v>227</v>
      </c>
      <c r="C1314" s="57" t="s">
        <v>3767</v>
      </c>
      <c r="D1314" s="57" t="s">
        <v>3768</v>
      </c>
      <c r="E1314" s="57"/>
      <c r="F1314" s="58">
        <v>47400.0</v>
      </c>
      <c r="G1314" s="57" t="s">
        <v>467</v>
      </c>
      <c r="H1314" s="59" t="s">
        <v>594</v>
      </c>
      <c r="I1314" s="59" t="s">
        <v>3682</v>
      </c>
      <c r="J1314" s="61" t="s">
        <v>3683</v>
      </c>
      <c r="K1314" s="67">
        <v>25659.0</v>
      </c>
      <c r="L1314" s="42"/>
      <c r="M1314" s="42"/>
      <c r="N1314" s="42"/>
      <c r="O1314" s="42"/>
      <c r="P1314" s="42"/>
      <c r="Q1314" s="42"/>
      <c r="R1314" s="42"/>
      <c r="S1314" s="42"/>
      <c r="T1314" s="42"/>
      <c r="U1314" s="42"/>
      <c r="V1314" s="42"/>
      <c r="W1314" s="42"/>
      <c r="X1314" s="42"/>
      <c r="Y1314" s="42"/>
      <c r="Z1314" s="42"/>
    </row>
    <row r="1315" ht="142.5" customHeight="1">
      <c r="A1315" s="57" t="s">
        <v>3590</v>
      </c>
      <c r="B1315" s="57" t="s">
        <v>227</v>
      </c>
      <c r="C1315" s="57" t="s">
        <v>3769</v>
      </c>
      <c r="D1315" s="57" t="s">
        <v>3770</v>
      </c>
      <c r="E1315" s="57" t="s">
        <v>3686</v>
      </c>
      <c r="F1315" s="58">
        <v>50200.0</v>
      </c>
      <c r="G1315" s="57" t="s">
        <v>467</v>
      </c>
      <c r="H1315" s="59" t="s">
        <v>594</v>
      </c>
      <c r="I1315" s="59" t="s">
        <v>3490</v>
      </c>
      <c r="J1315" s="61" t="s">
        <v>3687</v>
      </c>
      <c r="K1315" s="67">
        <v>25263.0</v>
      </c>
      <c r="L1315" s="42"/>
      <c r="M1315" s="42"/>
      <c r="N1315" s="42"/>
      <c r="O1315" s="42"/>
      <c r="P1315" s="42"/>
      <c r="Q1315" s="42"/>
      <c r="R1315" s="42"/>
      <c r="S1315" s="42"/>
      <c r="T1315" s="42"/>
      <c r="U1315" s="42"/>
      <c r="V1315" s="42"/>
      <c r="W1315" s="42"/>
      <c r="X1315" s="42"/>
      <c r="Y1315" s="42"/>
      <c r="Z1315" s="42"/>
    </row>
    <row r="1316" ht="142.5" customHeight="1">
      <c r="A1316" s="57" t="s">
        <v>3590</v>
      </c>
      <c r="B1316" s="57" t="s">
        <v>227</v>
      </c>
      <c r="C1316" s="57" t="s">
        <v>3771</v>
      </c>
      <c r="D1316" s="57" t="s">
        <v>3772</v>
      </c>
      <c r="E1316" s="57" t="s">
        <v>3686</v>
      </c>
      <c r="F1316" s="58">
        <v>51200.0</v>
      </c>
      <c r="G1316" s="57" t="s">
        <v>467</v>
      </c>
      <c r="H1316" s="59" t="s">
        <v>594</v>
      </c>
      <c r="I1316" s="59" t="s">
        <v>3490</v>
      </c>
      <c r="J1316" s="61" t="s">
        <v>3687</v>
      </c>
      <c r="K1316" s="67">
        <v>25263.0</v>
      </c>
      <c r="L1316" s="42"/>
      <c r="M1316" s="42"/>
      <c r="N1316" s="42"/>
      <c r="O1316" s="42"/>
      <c r="P1316" s="42"/>
      <c r="Q1316" s="42"/>
      <c r="R1316" s="42"/>
      <c r="S1316" s="42"/>
      <c r="T1316" s="42"/>
      <c r="U1316" s="42"/>
      <c r="V1316" s="42"/>
      <c r="W1316" s="42"/>
      <c r="X1316" s="42"/>
      <c r="Y1316" s="42"/>
      <c r="Z1316" s="42"/>
    </row>
    <row r="1317" ht="85.5" customHeight="1">
      <c r="A1317" s="57" t="s">
        <v>3590</v>
      </c>
      <c r="B1317" s="57" t="s">
        <v>227</v>
      </c>
      <c r="C1317" s="57" t="s">
        <v>3773</v>
      </c>
      <c r="D1317" s="57" t="s">
        <v>3774</v>
      </c>
      <c r="E1317" s="57"/>
      <c r="F1317" s="58">
        <v>49600.0</v>
      </c>
      <c r="G1317" s="57" t="s">
        <v>467</v>
      </c>
      <c r="H1317" s="59" t="s">
        <v>594</v>
      </c>
      <c r="I1317" s="59" t="s">
        <v>3682</v>
      </c>
      <c r="J1317" s="61" t="s">
        <v>3683</v>
      </c>
      <c r="K1317" s="67">
        <v>25659.0</v>
      </c>
      <c r="L1317" s="42"/>
      <c r="M1317" s="42"/>
      <c r="N1317" s="42"/>
      <c r="O1317" s="42"/>
      <c r="P1317" s="42"/>
      <c r="Q1317" s="42"/>
      <c r="R1317" s="42"/>
      <c r="S1317" s="42"/>
      <c r="T1317" s="42"/>
      <c r="U1317" s="42"/>
      <c r="V1317" s="42"/>
      <c r="W1317" s="42"/>
      <c r="X1317" s="42"/>
      <c r="Y1317" s="42"/>
      <c r="Z1317" s="42"/>
    </row>
    <row r="1318" ht="85.5" customHeight="1">
      <c r="A1318" s="57" t="s">
        <v>3590</v>
      </c>
      <c r="B1318" s="57" t="s">
        <v>227</v>
      </c>
      <c r="C1318" s="57" t="s">
        <v>3775</v>
      </c>
      <c r="D1318" s="57" t="s">
        <v>3776</v>
      </c>
      <c r="E1318" s="57"/>
      <c r="F1318" s="58">
        <v>49600.0</v>
      </c>
      <c r="G1318" s="57" t="s">
        <v>467</v>
      </c>
      <c r="H1318" s="59" t="s">
        <v>594</v>
      </c>
      <c r="I1318" s="59" t="s">
        <v>3682</v>
      </c>
      <c r="J1318" s="61" t="s">
        <v>3683</v>
      </c>
      <c r="K1318" s="67">
        <v>25659.0</v>
      </c>
      <c r="L1318" s="42"/>
      <c r="M1318" s="42"/>
      <c r="N1318" s="42"/>
      <c r="O1318" s="42"/>
      <c r="P1318" s="42"/>
      <c r="Q1318" s="42"/>
      <c r="R1318" s="42"/>
      <c r="S1318" s="42"/>
      <c r="T1318" s="42"/>
      <c r="U1318" s="42"/>
      <c r="V1318" s="42"/>
      <c r="W1318" s="42"/>
      <c r="X1318" s="42"/>
      <c r="Y1318" s="42"/>
      <c r="Z1318" s="42"/>
    </row>
    <row r="1319" ht="85.5" customHeight="1">
      <c r="A1319" s="57" t="s">
        <v>3590</v>
      </c>
      <c r="B1319" s="57" t="s">
        <v>227</v>
      </c>
      <c r="C1319" s="57" t="s">
        <v>3777</v>
      </c>
      <c r="D1319" s="57" t="s">
        <v>3778</v>
      </c>
      <c r="E1319" s="57"/>
      <c r="F1319" s="58">
        <v>50500.0</v>
      </c>
      <c r="G1319" s="57" t="s">
        <v>467</v>
      </c>
      <c r="H1319" s="59" t="s">
        <v>594</v>
      </c>
      <c r="I1319" s="59" t="s">
        <v>3682</v>
      </c>
      <c r="J1319" s="61" t="s">
        <v>3683</v>
      </c>
      <c r="K1319" s="67">
        <v>25659.0</v>
      </c>
      <c r="L1319" s="42"/>
      <c r="M1319" s="42"/>
      <c r="N1319" s="42"/>
      <c r="O1319" s="42"/>
      <c r="P1319" s="42"/>
      <c r="Q1319" s="42"/>
      <c r="R1319" s="42"/>
      <c r="S1319" s="42"/>
      <c r="T1319" s="42"/>
      <c r="U1319" s="42"/>
      <c r="V1319" s="42"/>
      <c r="W1319" s="42"/>
      <c r="X1319" s="42"/>
      <c r="Y1319" s="42"/>
      <c r="Z1319" s="42"/>
    </row>
    <row r="1320" ht="57.0" customHeight="1">
      <c r="A1320" s="57" t="s">
        <v>3590</v>
      </c>
      <c r="B1320" s="57" t="s">
        <v>227</v>
      </c>
      <c r="C1320" s="57" t="s">
        <v>3779</v>
      </c>
      <c r="D1320" s="57" t="s">
        <v>3780</v>
      </c>
      <c r="E1320" s="57"/>
      <c r="F1320" s="58">
        <v>51500.0</v>
      </c>
      <c r="G1320" s="57" t="s">
        <v>467</v>
      </c>
      <c r="H1320" s="59" t="s">
        <v>594</v>
      </c>
      <c r="I1320" s="59" t="s">
        <v>3559</v>
      </c>
      <c r="J1320" s="61" t="s">
        <v>3560</v>
      </c>
      <c r="K1320" s="67">
        <v>25600.0</v>
      </c>
      <c r="L1320" s="42"/>
      <c r="M1320" s="42"/>
      <c r="N1320" s="42"/>
      <c r="O1320" s="42"/>
      <c r="P1320" s="42"/>
      <c r="Q1320" s="42"/>
      <c r="R1320" s="42"/>
      <c r="S1320" s="42"/>
      <c r="T1320" s="42"/>
      <c r="U1320" s="42"/>
      <c r="V1320" s="42"/>
      <c r="W1320" s="42"/>
      <c r="X1320" s="42"/>
      <c r="Y1320" s="42"/>
      <c r="Z1320" s="42"/>
    </row>
    <row r="1321" ht="57.0" customHeight="1">
      <c r="A1321" s="57" t="s">
        <v>3590</v>
      </c>
      <c r="B1321" s="57" t="s">
        <v>227</v>
      </c>
      <c r="C1321" s="57" t="s">
        <v>3781</v>
      </c>
      <c r="D1321" s="57" t="s">
        <v>3782</v>
      </c>
      <c r="E1321" s="57"/>
      <c r="F1321" s="58">
        <v>53000.0</v>
      </c>
      <c r="G1321" s="57" t="s">
        <v>467</v>
      </c>
      <c r="H1321" s="59" t="s">
        <v>594</v>
      </c>
      <c r="I1321" s="59" t="s">
        <v>3559</v>
      </c>
      <c r="J1321" s="61" t="s">
        <v>3560</v>
      </c>
      <c r="K1321" s="67">
        <v>25600.0</v>
      </c>
      <c r="L1321" s="42"/>
      <c r="M1321" s="42"/>
      <c r="N1321" s="42"/>
      <c r="O1321" s="42"/>
      <c r="P1321" s="42"/>
      <c r="Q1321" s="42"/>
      <c r="R1321" s="42"/>
      <c r="S1321" s="42"/>
      <c r="T1321" s="42"/>
      <c r="U1321" s="42"/>
      <c r="V1321" s="42"/>
      <c r="W1321" s="42"/>
      <c r="X1321" s="42"/>
      <c r="Y1321" s="42"/>
      <c r="Z1321" s="42"/>
    </row>
    <row r="1322" ht="142.5" customHeight="1">
      <c r="A1322" s="57" t="s">
        <v>3590</v>
      </c>
      <c r="B1322" s="57" t="s">
        <v>227</v>
      </c>
      <c r="C1322" s="57" t="s">
        <v>3783</v>
      </c>
      <c r="D1322" s="57" t="s">
        <v>3784</v>
      </c>
      <c r="E1322" s="57" t="s">
        <v>3716</v>
      </c>
      <c r="F1322" s="58">
        <v>54000.0</v>
      </c>
      <c r="G1322" s="57" t="s">
        <v>467</v>
      </c>
      <c r="H1322" s="59" t="s">
        <v>594</v>
      </c>
      <c r="I1322" s="59" t="s">
        <v>3559</v>
      </c>
      <c r="J1322" s="61" t="s">
        <v>2973</v>
      </c>
      <c r="K1322" s="67">
        <v>25600.0</v>
      </c>
      <c r="L1322" s="42"/>
      <c r="M1322" s="42"/>
      <c r="N1322" s="42"/>
      <c r="O1322" s="42"/>
      <c r="P1322" s="42"/>
      <c r="Q1322" s="42"/>
      <c r="R1322" s="42"/>
      <c r="S1322" s="42"/>
      <c r="T1322" s="42"/>
      <c r="U1322" s="42"/>
      <c r="V1322" s="42"/>
      <c r="W1322" s="42"/>
      <c r="X1322" s="42"/>
      <c r="Y1322" s="42"/>
      <c r="Z1322" s="42"/>
    </row>
    <row r="1323" ht="142.5" customHeight="1">
      <c r="A1323" s="57" t="s">
        <v>3590</v>
      </c>
      <c r="B1323" s="57" t="s">
        <v>227</v>
      </c>
      <c r="C1323" s="57" t="s">
        <v>3785</v>
      </c>
      <c r="D1323" s="57" t="s">
        <v>3786</v>
      </c>
      <c r="E1323" s="57" t="s">
        <v>3716</v>
      </c>
      <c r="F1323" s="58">
        <v>56000.0</v>
      </c>
      <c r="G1323" s="57" t="s">
        <v>467</v>
      </c>
      <c r="H1323" s="59" t="s">
        <v>594</v>
      </c>
      <c r="I1323" s="59" t="s">
        <v>3559</v>
      </c>
      <c r="J1323" s="61" t="s">
        <v>2973</v>
      </c>
      <c r="K1323" s="67">
        <v>25600.0</v>
      </c>
      <c r="L1323" s="42"/>
      <c r="M1323" s="42"/>
      <c r="N1323" s="42"/>
      <c r="O1323" s="42"/>
      <c r="P1323" s="42"/>
      <c r="Q1323" s="42"/>
      <c r="R1323" s="42"/>
      <c r="S1323" s="42"/>
      <c r="T1323" s="42"/>
      <c r="U1323" s="42"/>
      <c r="V1323" s="42"/>
      <c r="W1323" s="42"/>
      <c r="X1323" s="42"/>
      <c r="Y1323" s="42"/>
      <c r="Z1323" s="42"/>
    </row>
    <row r="1324" ht="199.5" customHeight="1">
      <c r="A1324" s="57" t="s">
        <v>3590</v>
      </c>
      <c r="B1324" s="57" t="s">
        <v>227</v>
      </c>
      <c r="C1324" s="57" t="s">
        <v>3787</v>
      </c>
      <c r="D1324" s="57" t="s">
        <v>3788</v>
      </c>
      <c r="E1324" s="57" t="s">
        <v>3739</v>
      </c>
      <c r="F1324" s="58">
        <v>52200.0</v>
      </c>
      <c r="G1324" s="57" t="s">
        <v>467</v>
      </c>
      <c r="H1324" s="59" t="s">
        <v>594</v>
      </c>
      <c r="I1324" s="59" t="s">
        <v>595</v>
      </c>
      <c r="J1324" s="57" t="s">
        <v>3740</v>
      </c>
      <c r="K1324" s="67">
        <v>26054.0</v>
      </c>
      <c r="L1324" s="42"/>
      <c r="M1324" s="42"/>
      <c r="N1324" s="42"/>
      <c r="O1324" s="42"/>
      <c r="P1324" s="42"/>
      <c r="Q1324" s="42"/>
      <c r="R1324" s="42"/>
      <c r="S1324" s="42"/>
      <c r="T1324" s="42"/>
      <c r="U1324" s="42"/>
      <c r="V1324" s="42"/>
      <c r="W1324" s="42"/>
      <c r="X1324" s="42"/>
      <c r="Y1324" s="42"/>
      <c r="Z1324" s="42"/>
    </row>
    <row r="1325" ht="85.5" customHeight="1">
      <c r="A1325" s="57" t="s">
        <v>3590</v>
      </c>
      <c r="B1325" s="57" t="s">
        <v>227</v>
      </c>
      <c r="C1325" s="57" t="s">
        <v>3789</v>
      </c>
      <c r="D1325" s="57" t="s">
        <v>3790</v>
      </c>
      <c r="E1325" s="57"/>
      <c r="F1325" s="58">
        <v>57300.0</v>
      </c>
      <c r="G1325" s="57" t="s">
        <v>467</v>
      </c>
      <c r="H1325" s="59" t="s">
        <v>594</v>
      </c>
      <c r="I1325" s="59" t="s">
        <v>3682</v>
      </c>
      <c r="J1325" s="61" t="s">
        <v>3683</v>
      </c>
      <c r="K1325" s="67">
        <v>25659.0</v>
      </c>
      <c r="L1325" s="42"/>
      <c r="M1325" s="42"/>
      <c r="N1325" s="42"/>
      <c r="O1325" s="42"/>
      <c r="P1325" s="42"/>
      <c r="Q1325" s="42"/>
      <c r="R1325" s="42"/>
      <c r="S1325" s="42"/>
      <c r="T1325" s="42"/>
      <c r="U1325" s="42"/>
      <c r="V1325" s="42"/>
      <c r="W1325" s="42"/>
      <c r="X1325" s="42"/>
      <c r="Y1325" s="42"/>
      <c r="Z1325" s="42"/>
    </row>
    <row r="1326" ht="85.5" customHeight="1">
      <c r="A1326" s="57" t="s">
        <v>3590</v>
      </c>
      <c r="B1326" s="57" t="s">
        <v>227</v>
      </c>
      <c r="C1326" s="57" t="s">
        <v>3791</v>
      </c>
      <c r="D1326" s="57" t="s">
        <v>3792</v>
      </c>
      <c r="E1326" s="57"/>
      <c r="F1326" s="58">
        <v>57300.0</v>
      </c>
      <c r="G1326" s="57" t="s">
        <v>467</v>
      </c>
      <c r="H1326" s="59" t="s">
        <v>594</v>
      </c>
      <c r="I1326" s="59" t="s">
        <v>3682</v>
      </c>
      <c r="J1326" s="61" t="s">
        <v>3683</v>
      </c>
      <c r="K1326" s="67">
        <v>25659.0</v>
      </c>
      <c r="L1326" s="42"/>
      <c r="M1326" s="42"/>
      <c r="N1326" s="42"/>
      <c r="O1326" s="42"/>
      <c r="P1326" s="42"/>
      <c r="Q1326" s="42"/>
      <c r="R1326" s="42"/>
      <c r="S1326" s="42"/>
      <c r="T1326" s="42"/>
      <c r="U1326" s="42"/>
      <c r="V1326" s="42"/>
      <c r="W1326" s="42"/>
      <c r="X1326" s="42"/>
      <c r="Y1326" s="42"/>
      <c r="Z1326" s="42"/>
    </row>
    <row r="1327" ht="142.5" customHeight="1">
      <c r="A1327" s="57" t="s">
        <v>3590</v>
      </c>
      <c r="B1327" s="57" t="s">
        <v>227</v>
      </c>
      <c r="C1327" s="57" t="s">
        <v>3793</v>
      </c>
      <c r="D1327" s="57" t="s">
        <v>3794</v>
      </c>
      <c r="E1327" s="57" t="s">
        <v>3686</v>
      </c>
      <c r="F1327" s="58">
        <v>60700.0</v>
      </c>
      <c r="G1327" s="57" t="s">
        <v>467</v>
      </c>
      <c r="H1327" s="59" t="s">
        <v>594</v>
      </c>
      <c r="I1327" s="59" t="s">
        <v>3490</v>
      </c>
      <c r="J1327" s="61" t="s">
        <v>3687</v>
      </c>
      <c r="K1327" s="67">
        <v>25263.0</v>
      </c>
      <c r="L1327" s="42"/>
      <c r="M1327" s="42"/>
      <c r="N1327" s="42"/>
      <c r="O1327" s="42"/>
      <c r="P1327" s="42"/>
      <c r="Q1327" s="42"/>
      <c r="R1327" s="42"/>
      <c r="S1327" s="42"/>
      <c r="T1327" s="42"/>
      <c r="U1327" s="42"/>
      <c r="V1327" s="42"/>
      <c r="W1327" s="42"/>
      <c r="X1327" s="42"/>
      <c r="Y1327" s="42"/>
      <c r="Z1327" s="42"/>
    </row>
    <row r="1328" ht="199.5" customHeight="1">
      <c r="A1328" s="57" t="s">
        <v>3590</v>
      </c>
      <c r="B1328" s="57" t="s">
        <v>227</v>
      </c>
      <c r="C1328" s="57" t="s">
        <v>3795</v>
      </c>
      <c r="D1328" s="57" t="s">
        <v>3796</v>
      </c>
      <c r="E1328" s="57" t="s">
        <v>3739</v>
      </c>
      <c r="F1328" s="58">
        <v>55400.0</v>
      </c>
      <c r="G1328" s="57" t="s">
        <v>467</v>
      </c>
      <c r="H1328" s="59" t="s">
        <v>594</v>
      </c>
      <c r="I1328" s="59" t="s">
        <v>595</v>
      </c>
      <c r="J1328" s="57" t="s">
        <v>3740</v>
      </c>
      <c r="K1328" s="67">
        <v>26054.0</v>
      </c>
      <c r="L1328" s="42"/>
      <c r="M1328" s="42"/>
      <c r="N1328" s="42"/>
      <c r="O1328" s="42"/>
      <c r="P1328" s="42"/>
      <c r="Q1328" s="42"/>
      <c r="R1328" s="42"/>
      <c r="S1328" s="42"/>
      <c r="T1328" s="42"/>
      <c r="U1328" s="42"/>
      <c r="V1328" s="42"/>
      <c r="W1328" s="42"/>
      <c r="X1328" s="42"/>
      <c r="Y1328" s="42"/>
      <c r="Z1328" s="42"/>
    </row>
    <row r="1329" ht="142.5" customHeight="1">
      <c r="A1329" s="57" t="s">
        <v>3590</v>
      </c>
      <c r="B1329" s="57" t="s">
        <v>227</v>
      </c>
      <c r="C1329" s="57" t="s">
        <v>3797</v>
      </c>
      <c r="D1329" s="57" t="s">
        <v>3798</v>
      </c>
      <c r="E1329" s="57" t="s">
        <v>3686</v>
      </c>
      <c r="F1329" s="58">
        <v>61600.0</v>
      </c>
      <c r="G1329" s="57" t="s">
        <v>467</v>
      </c>
      <c r="H1329" s="59" t="s">
        <v>594</v>
      </c>
      <c r="I1329" s="59" t="s">
        <v>3490</v>
      </c>
      <c r="J1329" s="61" t="s">
        <v>3687</v>
      </c>
      <c r="K1329" s="67">
        <v>25263.0</v>
      </c>
      <c r="L1329" s="42"/>
      <c r="M1329" s="42"/>
      <c r="N1329" s="42"/>
      <c r="O1329" s="42"/>
      <c r="P1329" s="42"/>
      <c r="Q1329" s="42"/>
      <c r="R1329" s="42"/>
      <c r="S1329" s="42"/>
      <c r="T1329" s="42"/>
      <c r="U1329" s="42"/>
      <c r="V1329" s="42"/>
      <c r="W1329" s="42"/>
      <c r="X1329" s="42"/>
      <c r="Y1329" s="42"/>
      <c r="Z1329" s="42"/>
    </row>
    <row r="1330" ht="57.0" customHeight="1">
      <c r="A1330" s="57" t="s">
        <v>3590</v>
      </c>
      <c r="B1330" s="57" t="s">
        <v>227</v>
      </c>
      <c r="C1330" s="57" t="s">
        <v>3799</v>
      </c>
      <c r="D1330" s="57" t="s">
        <v>3800</v>
      </c>
      <c r="E1330" s="57"/>
      <c r="F1330" s="58">
        <v>62600.0</v>
      </c>
      <c r="G1330" s="57" t="s">
        <v>467</v>
      </c>
      <c r="H1330" s="59" t="s">
        <v>594</v>
      </c>
      <c r="I1330" s="59" t="s">
        <v>3559</v>
      </c>
      <c r="J1330" s="61" t="s">
        <v>3560</v>
      </c>
      <c r="K1330" s="67">
        <v>25600.0</v>
      </c>
      <c r="L1330" s="42"/>
      <c r="M1330" s="42"/>
      <c r="N1330" s="42"/>
      <c r="O1330" s="42"/>
      <c r="P1330" s="42"/>
      <c r="Q1330" s="42"/>
      <c r="R1330" s="42"/>
      <c r="S1330" s="42"/>
      <c r="T1330" s="42"/>
      <c r="U1330" s="42"/>
      <c r="V1330" s="42"/>
      <c r="W1330" s="42"/>
      <c r="X1330" s="42"/>
      <c r="Y1330" s="42"/>
      <c r="Z1330" s="42"/>
    </row>
    <row r="1331" ht="57.0" customHeight="1">
      <c r="A1331" s="57" t="s">
        <v>3590</v>
      </c>
      <c r="B1331" s="57" t="s">
        <v>227</v>
      </c>
      <c r="C1331" s="57" t="s">
        <v>3801</v>
      </c>
      <c r="D1331" s="57" t="s">
        <v>3802</v>
      </c>
      <c r="E1331" s="57"/>
      <c r="F1331" s="58">
        <v>62300.0</v>
      </c>
      <c r="G1331" s="57" t="s">
        <v>467</v>
      </c>
      <c r="H1331" s="59" t="s">
        <v>594</v>
      </c>
      <c r="I1331" s="59" t="s">
        <v>3559</v>
      </c>
      <c r="J1331" s="61" t="s">
        <v>3560</v>
      </c>
      <c r="K1331" s="67">
        <v>25600.0</v>
      </c>
      <c r="L1331" s="42"/>
      <c r="M1331" s="42"/>
      <c r="N1331" s="42"/>
      <c r="O1331" s="42"/>
      <c r="P1331" s="42"/>
      <c r="Q1331" s="42"/>
      <c r="R1331" s="42"/>
      <c r="S1331" s="42"/>
      <c r="T1331" s="42"/>
      <c r="U1331" s="42"/>
      <c r="V1331" s="42"/>
      <c r="W1331" s="42"/>
      <c r="X1331" s="42"/>
      <c r="Y1331" s="42"/>
      <c r="Z1331" s="42"/>
    </row>
    <row r="1332" ht="142.5" customHeight="1">
      <c r="A1332" s="57" t="s">
        <v>3590</v>
      </c>
      <c r="B1332" s="57" t="s">
        <v>227</v>
      </c>
      <c r="C1332" s="57" t="s">
        <v>3803</v>
      </c>
      <c r="D1332" s="57" t="s">
        <v>3804</v>
      </c>
      <c r="E1332" s="57" t="s">
        <v>3716</v>
      </c>
      <c r="F1332" s="58">
        <v>65000.0</v>
      </c>
      <c r="G1332" s="57" t="s">
        <v>467</v>
      </c>
      <c r="H1332" s="59" t="s">
        <v>594</v>
      </c>
      <c r="I1332" s="59" t="s">
        <v>3559</v>
      </c>
      <c r="J1332" s="61" t="s">
        <v>2973</v>
      </c>
      <c r="K1332" s="67">
        <v>25600.0</v>
      </c>
      <c r="L1332" s="42"/>
      <c r="M1332" s="42"/>
      <c r="N1332" s="42"/>
      <c r="O1332" s="42"/>
      <c r="P1332" s="42"/>
      <c r="Q1332" s="42"/>
      <c r="R1332" s="42"/>
      <c r="S1332" s="42"/>
      <c r="T1332" s="42"/>
      <c r="U1332" s="42"/>
      <c r="V1332" s="42"/>
      <c r="W1332" s="42"/>
      <c r="X1332" s="42"/>
      <c r="Y1332" s="42"/>
      <c r="Z1332" s="42"/>
    </row>
    <row r="1333" ht="142.5" customHeight="1">
      <c r="A1333" s="57" t="s">
        <v>3590</v>
      </c>
      <c r="B1333" s="57" t="s">
        <v>227</v>
      </c>
      <c r="C1333" s="57" t="s">
        <v>3805</v>
      </c>
      <c r="D1333" s="57" t="s">
        <v>3806</v>
      </c>
      <c r="E1333" s="57" t="s">
        <v>3716</v>
      </c>
      <c r="F1333" s="58">
        <v>65000.0</v>
      </c>
      <c r="G1333" s="57" t="s">
        <v>467</v>
      </c>
      <c r="H1333" s="59" t="s">
        <v>594</v>
      </c>
      <c r="I1333" s="59" t="s">
        <v>3559</v>
      </c>
      <c r="J1333" s="61" t="s">
        <v>2973</v>
      </c>
      <c r="K1333" s="67">
        <v>25600.0</v>
      </c>
      <c r="L1333" s="42"/>
      <c r="M1333" s="42"/>
      <c r="N1333" s="42"/>
      <c r="O1333" s="42"/>
      <c r="P1333" s="42"/>
      <c r="Q1333" s="42"/>
      <c r="R1333" s="42"/>
      <c r="S1333" s="42"/>
      <c r="T1333" s="42"/>
      <c r="U1333" s="42"/>
      <c r="V1333" s="42"/>
      <c r="W1333" s="42"/>
      <c r="X1333" s="42"/>
      <c r="Y1333" s="42"/>
      <c r="Z1333" s="42"/>
    </row>
    <row r="1334" ht="199.5" customHeight="1">
      <c r="A1334" s="57" t="s">
        <v>3590</v>
      </c>
      <c r="B1334" s="57" t="s">
        <v>227</v>
      </c>
      <c r="C1334" s="57" t="s">
        <v>3807</v>
      </c>
      <c r="D1334" s="57" t="s">
        <v>3808</v>
      </c>
      <c r="E1334" s="57" t="s">
        <v>3739</v>
      </c>
      <c r="F1334" s="58">
        <v>65000.0</v>
      </c>
      <c r="G1334" s="57" t="s">
        <v>467</v>
      </c>
      <c r="H1334" s="59" t="s">
        <v>594</v>
      </c>
      <c r="I1334" s="59" t="s">
        <v>595</v>
      </c>
      <c r="J1334" s="57" t="s">
        <v>3740</v>
      </c>
      <c r="K1334" s="67">
        <v>26054.0</v>
      </c>
      <c r="L1334" s="42"/>
      <c r="M1334" s="42"/>
      <c r="N1334" s="42"/>
      <c r="O1334" s="42"/>
      <c r="P1334" s="42"/>
      <c r="Q1334" s="42"/>
      <c r="R1334" s="42"/>
      <c r="S1334" s="42"/>
      <c r="T1334" s="42"/>
      <c r="U1334" s="42"/>
      <c r="V1334" s="42"/>
      <c r="W1334" s="42"/>
      <c r="X1334" s="42"/>
      <c r="Y1334" s="42"/>
      <c r="Z1334" s="42"/>
    </row>
    <row r="1335" ht="199.5" customHeight="1">
      <c r="A1335" s="57" t="s">
        <v>3590</v>
      </c>
      <c r="B1335" s="57" t="s">
        <v>227</v>
      </c>
      <c r="C1335" s="57" t="s">
        <v>3809</v>
      </c>
      <c r="D1335" s="57" t="s">
        <v>3810</v>
      </c>
      <c r="E1335" s="57" t="s">
        <v>3739</v>
      </c>
      <c r="F1335" s="58">
        <v>68300.0</v>
      </c>
      <c r="G1335" s="57" t="s">
        <v>467</v>
      </c>
      <c r="H1335" s="59" t="s">
        <v>594</v>
      </c>
      <c r="I1335" s="59" t="s">
        <v>595</v>
      </c>
      <c r="J1335" s="57" t="s">
        <v>3740</v>
      </c>
      <c r="K1335" s="67">
        <v>26054.0</v>
      </c>
      <c r="L1335" s="42"/>
      <c r="M1335" s="42"/>
      <c r="N1335" s="42"/>
      <c r="O1335" s="42"/>
      <c r="P1335" s="42"/>
      <c r="Q1335" s="42"/>
      <c r="R1335" s="42"/>
      <c r="S1335" s="42"/>
      <c r="T1335" s="42"/>
      <c r="U1335" s="42"/>
      <c r="V1335" s="42"/>
      <c r="W1335" s="42"/>
      <c r="X1335" s="42"/>
      <c r="Y1335" s="42"/>
      <c r="Z1335" s="42"/>
    </row>
    <row r="1336" ht="199.5" customHeight="1">
      <c r="A1336" s="57" t="s">
        <v>3590</v>
      </c>
      <c r="B1336" s="57" t="s">
        <v>227</v>
      </c>
      <c r="C1336" s="57" t="s">
        <v>3811</v>
      </c>
      <c r="D1336" s="57" t="s">
        <v>3812</v>
      </c>
      <c r="E1336" s="57" t="s">
        <v>3739</v>
      </c>
      <c r="F1336" s="58">
        <v>66200.0</v>
      </c>
      <c r="G1336" s="57" t="s">
        <v>467</v>
      </c>
      <c r="H1336" s="59" t="s">
        <v>594</v>
      </c>
      <c r="I1336" s="59" t="s">
        <v>595</v>
      </c>
      <c r="J1336" s="57" t="s">
        <v>3740</v>
      </c>
      <c r="K1336" s="67">
        <v>26054.0</v>
      </c>
      <c r="L1336" s="42"/>
      <c r="M1336" s="42"/>
      <c r="N1336" s="42"/>
      <c r="O1336" s="42"/>
      <c r="P1336" s="42"/>
      <c r="Q1336" s="42"/>
      <c r="R1336" s="42"/>
      <c r="S1336" s="42"/>
      <c r="T1336" s="42"/>
      <c r="U1336" s="42"/>
      <c r="V1336" s="42"/>
      <c r="W1336" s="42"/>
      <c r="X1336" s="42"/>
      <c r="Y1336" s="42"/>
      <c r="Z1336" s="42"/>
    </row>
    <row r="1337" ht="199.5" customHeight="1">
      <c r="A1337" s="57" t="s">
        <v>3590</v>
      </c>
      <c r="B1337" s="57" t="s">
        <v>227</v>
      </c>
      <c r="C1337" s="57" t="s">
        <v>3813</v>
      </c>
      <c r="D1337" s="57" t="s">
        <v>3814</v>
      </c>
      <c r="E1337" s="57" t="s">
        <v>3739</v>
      </c>
      <c r="F1337" s="58">
        <v>71000.0</v>
      </c>
      <c r="G1337" s="57" t="s">
        <v>467</v>
      </c>
      <c r="H1337" s="59" t="s">
        <v>594</v>
      </c>
      <c r="I1337" s="59" t="s">
        <v>595</v>
      </c>
      <c r="J1337" s="57" t="s">
        <v>3740</v>
      </c>
      <c r="K1337" s="67">
        <v>26054.0</v>
      </c>
      <c r="L1337" s="42"/>
      <c r="M1337" s="42"/>
      <c r="N1337" s="42"/>
      <c r="O1337" s="42"/>
      <c r="P1337" s="42"/>
      <c r="Q1337" s="42"/>
      <c r="R1337" s="42"/>
      <c r="S1337" s="42"/>
      <c r="T1337" s="42"/>
      <c r="U1337" s="42"/>
      <c r="V1337" s="42"/>
      <c r="W1337" s="42"/>
      <c r="X1337" s="42"/>
      <c r="Y1337" s="42"/>
      <c r="Z1337" s="42"/>
    </row>
    <row r="1338" ht="199.5" customHeight="1">
      <c r="A1338" s="57" t="s">
        <v>3590</v>
      </c>
      <c r="B1338" s="57" t="s">
        <v>227</v>
      </c>
      <c r="C1338" s="57" t="s">
        <v>3815</v>
      </c>
      <c r="D1338" s="57" t="s">
        <v>3816</v>
      </c>
      <c r="E1338" s="57" t="s">
        <v>3739</v>
      </c>
      <c r="F1338" s="58">
        <v>69600.0</v>
      </c>
      <c r="G1338" s="57" t="s">
        <v>467</v>
      </c>
      <c r="H1338" s="59" t="s">
        <v>594</v>
      </c>
      <c r="I1338" s="59" t="s">
        <v>595</v>
      </c>
      <c r="J1338" s="57" t="s">
        <v>3740</v>
      </c>
      <c r="K1338" s="67">
        <v>26054.0</v>
      </c>
      <c r="L1338" s="42"/>
      <c r="M1338" s="42"/>
      <c r="N1338" s="42"/>
      <c r="O1338" s="42"/>
      <c r="P1338" s="42"/>
      <c r="Q1338" s="42"/>
      <c r="R1338" s="42"/>
      <c r="S1338" s="42"/>
      <c r="T1338" s="42"/>
      <c r="U1338" s="42"/>
      <c r="V1338" s="42"/>
      <c r="W1338" s="42"/>
      <c r="X1338" s="42"/>
      <c r="Y1338" s="42"/>
      <c r="Z1338" s="42"/>
    </row>
    <row r="1339" ht="199.5" customHeight="1">
      <c r="A1339" s="57" t="s">
        <v>3590</v>
      </c>
      <c r="B1339" s="57" t="s">
        <v>227</v>
      </c>
      <c r="C1339" s="57" t="s">
        <v>3817</v>
      </c>
      <c r="D1339" s="57" t="s">
        <v>3818</v>
      </c>
      <c r="E1339" s="57" t="s">
        <v>3739</v>
      </c>
      <c r="F1339" s="58">
        <v>74600.0</v>
      </c>
      <c r="G1339" s="57" t="s">
        <v>467</v>
      </c>
      <c r="H1339" s="59" t="s">
        <v>594</v>
      </c>
      <c r="I1339" s="59" t="s">
        <v>595</v>
      </c>
      <c r="J1339" s="57" t="s">
        <v>3740</v>
      </c>
      <c r="K1339" s="67">
        <v>26054.0</v>
      </c>
      <c r="L1339" s="42"/>
      <c r="M1339" s="42"/>
      <c r="N1339" s="42"/>
      <c r="O1339" s="42"/>
      <c r="P1339" s="42"/>
      <c r="Q1339" s="42"/>
      <c r="R1339" s="42"/>
      <c r="S1339" s="42"/>
      <c r="T1339" s="42"/>
      <c r="U1339" s="42"/>
      <c r="V1339" s="42"/>
      <c r="W1339" s="42"/>
      <c r="X1339" s="42"/>
      <c r="Y1339" s="42"/>
      <c r="Z1339" s="42"/>
    </row>
    <row r="1340" ht="57.0" customHeight="1">
      <c r="A1340" s="57" t="s">
        <v>3590</v>
      </c>
      <c r="B1340" s="57" t="s">
        <v>227</v>
      </c>
      <c r="C1340" s="57" t="s">
        <v>3819</v>
      </c>
      <c r="D1340" s="57" t="s">
        <v>3820</v>
      </c>
      <c r="E1340" s="57"/>
      <c r="F1340" s="58">
        <v>23500.0</v>
      </c>
      <c r="G1340" s="57" t="s">
        <v>251</v>
      </c>
      <c r="H1340" s="59" t="s">
        <v>952</v>
      </c>
      <c r="I1340" s="59" t="s">
        <v>953</v>
      </c>
      <c r="J1340" s="61"/>
      <c r="K1340" s="61"/>
      <c r="L1340" s="42"/>
      <c r="M1340" s="42"/>
      <c r="N1340" s="42"/>
      <c r="O1340" s="42"/>
      <c r="P1340" s="42"/>
      <c r="Q1340" s="42"/>
      <c r="R1340" s="42"/>
      <c r="S1340" s="42"/>
      <c r="T1340" s="42"/>
      <c r="U1340" s="42"/>
      <c r="V1340" s="42"/>
      <c r="W1340" s="42"/>
      <c r="X1340" s="42"/>
      <c r="Y1340" s="42"/>
      <c r="Z1340" s="42"/>
    </row>
    <row r="1341" ht="57.0" customHeight="1">
      <c r="A1341" s="57" t="s">
        <v>3590</v>
      </c>
      <c r="B1341" s="57" t="s">
        <v>227</v>
      </c>
      <c r="C1341" s="57" t="s">
        <v>3821</v>
      </c>
      <c r="D1341" s="57" t="s">
        <v>3822</v>
      </c>
      <c r="E1341" s="57"/>
      <c r="F1341" s="58">
        <v>28600.0</v>
      </c>
      <c r="G1341" s="57" t="s">
        <v>251</v>
      </c>
      <c r="H1341" s="59" t="s">
        <v>952</v>
      </c>
      <c r="I1341" s="59" t="s">
        <v>953</v>
      </c>
      <c r="J1341" s="61"/>
      <c r="K1341" s="61"/>
      <c r="L1341" s="42"/>
      <c r="M1341" s="42"/>
      <c r="N1341" s="42"/>
      <c r="O1341" s="42"/>
      <c r="P1341" s="42"/>
      <c r="Q1341" s="42"/>
      <c r="R1341" s="42"/>
      <c r="S1341" s="42"/>
      <c r="T1341" s="42"/>
      <c r="U1341" s="42"/>
      <c r="V1341" s="42"/>
      <c r="W1341" s="42"/>
      <c r="X1341" s="42"/>
      <c r="Y1341" s="42"/>
      <c r="Z1341" s="42"/>
    </row>
    <row r="1342" ht="57.0" customHeight="1">
      <c r="A1342" s="57" t="s">
        <v>3590</v>
      </c>
      <c r="B1342" s="57" t="s">
        <v>227</v>
      </c>
      <c r="C1342" s="57" t="s">
        <v>3823</v>
      </c>
      <c r="D1342" s="57" t="s">
        <v>3824</v>
      </c>
      <c r="E1342" s="57"/>
      <c r="F1342" s="58">
        <v>30900.0</v>
      </c>
      <c r="G1342" s="57" t="s">
        <v>251</v>
      </c>
      <c r="H1342" s="59" t="s">
        <v>952</v>
      </c>
      <c r="I1342" s="59" t="s">
        <v>953</v>
      </c>
      <c r="J1342" s="61"/>
      <c r="K1342" s="61"/>
      <c r="L1342" s="42"/>
      <c r="M1342" s="42"/>
      <c r="N1342" s="42"/>
      <c r="O1342" s="42"/>
      <c r="P1342" s="42"/>
      <c r="Q1342" s="42"/>
      <c r="R1342" s="42"/>
      <c r="S1342" s="42"/>
      <c r="T1342" s="42"/>
      <c r="U1342" s="42"/>
      <c r="V1342" s="42"/>
      <c r="W1342" s="42"/>
      <c r="X1342" s="42"/>
      <c r="Y1342" s="42"/>
      <c r="Z1342" s="42"/>
    </row>
    <row r="1343" ht="57.0" customHeight="1">
      <c r="A1343" s="57" t="s">
        <v>3590</v>
      </c>
      <c r="B1343" s="57" t="s">
        <v>227</v>
      </c>
      <c r="C1343" s="57" t="s">
        <v>3825</v>
      </c>
      <c r="D1343" s="57" t="s">
        <v>3826</v>
      </c>
      <c r="E1343" s="57"/>
      <c r="F1343" s="58">
        <v>32200.0</v>
      </c>
      <c r="G1343" s="57" t="s">
        <v>251</v>
      </c>
      <c r="H1343" s="59" t="s">
        <v>952</v>
      </c>
      <c r="I1343" s="59" t="s">
        <v>953</v>
      </c>
      <c r="J1343" s="61"/>
      <c r="K1343" s="61"/>
      <c r="L1343" s="42"/>
      <c r="M1343" s="42"/>
      <c r="N1343" s="42"/>
      <c r="O1343" s="42"/>
      <c r="P1343" s="42"/>
      <c r="Q1343" s="42"/>
      <c r="R1343" s="42"/>
      <c r="S1343" s="42"/>
      <c r="T1343" s="42"/>
      <c r="U1343" s="42"/>
      <c r="V1343" s="42"/>
      <c r="W1343" s="42"/>
      <c r="X1343" s="42"/>
      <c r="Y1343" s="42"/>
      <c r="Z1343" s="42"/>
    </row>
    <row r="1344" ht="57.0" customHeight="1">
      <c r="A1344" s="57" t="s">
        <v>3590</v>
      </c>
      <c r="B1344" s="57" t="s">
        <v>227</v>
      </c>
      <c r="C1344" s="57" t="s">
        <v>3827</v>
      </c>
      <c r="D1344" s="57" t="s">
        <v>3828</v>
      </c>
      <c r="E1344" s="57"/>
      <c r="F1344" s="58">
        <v>36300.0</v>
      </c>
      <c r="G1344" s="57" t="s">
        <v>251</v>
      </c>
      <c r="H1344" s="59" t="s">
        <v>952</v>
      </c>
      <c r="I1344" s="59" t="s">
        <v>953</v>
      </c>
      <c r="J1344" s="61"/>
      <c r="K1344" s="61"/>
      <c r="L1344" s="42"/>
      <c r="M1344" s="42"/>
      <c r="N1344" s="42"/>
      <c r="O1344" s="42"/>
      <c r="P1344" s="42"/>
      <c r="Q1344" s="42"/>
      <c r="R1344" s="42"/>
      <c r="S1344" s="42"/>
      <c r="T1344" s="42"/>
      <c r="U1344" s="42"/>
      <c r="V1344" s="42"/>
      <c r="W1344" s="42"/>
      <c r="X1344" s="42"/>
      <c r="Y1344" s="42"/>
      <c r="Z1344" s="42"/>
    </row>
    <row r="1345" ht="57.0" customHeight="1">
      <c r="A1345" s="57" t="s">
        <v>3590</v>
      </c>
      <c r="B1345" s="57" t="s">
        <v>227</v>
      </c>
      <c r="C1345" s="57" t="s">
        <v>3829</v>
      </c>
      <c r="D1345" s="57" t="s">
        <v>3830</v>
      </c>
      <c r="E1345" s="57"/>
      <c r="F1345" s="58">
        <v>41500.0</v>
      </c>
      <c r="G1345" s="57" t="s">
        <v>251</v>
      </c>
      <c r="H1345" s="59" t="s">
        <v>952</v>
      </c>
      <c r="I1345" s="59" t="s">
        <v>953</v>
      </c>
      <c r="J1345" s="61"/>
      <c r="K1345" s="61"/>
      <c r="L1345" s="42"/>
      <c r="M1345" s="42"/>
      <c r="N1345" s="42"/>
      <c r="O1345" s="42"/>
      <c r="P1345" s="42"/>
      <c r="Q1345" s="42"/>
      <c r="R1345" s="42"/>
      <c r="S1345" s="42"/>
      <c r="T1345" s="42"/>
      <c r="U1345" s="42"/>
      <c r="V1345" s="42"/>
      <c r="W1345" s="42"/>
      <c r="X1345" s="42"/>
      <c r="Y1345" s="42"/>
      <c r="Z1345" s="42"/>
    </row>
    <row r="1346" ht="57.0" customHeight="1">
      <c r="A1346" s="57" t="s">
        <v>3590</v>
      </c>
      <c r="B1346" s="57" t="s">
        <v>227</v>
      </c>
      <c r="C1346" s="57" t="s">
        <v>3831</v>
      </c>
      <c r="D1346" s="57" t="s">
        <v>3832</v>
      </c>
      <c r="E1346" s="57"/>
      <c r="F1346" s="58">
        <v>43000.0</v>
      </c>
      <c r="G1346" s="57" t="s">
        <v>251</v>
      </c>
      <c r="H1346" s="59" t="s">
        <v>952</v>
      </c>
      <c r="I1346" s="59" t="s">
        <v>953</v>
      </c>
      <c r="J1346" s="61"/>
      <c r="K1346" s="61"/>
      <c r="L1346" s="42"/>
      <c r="M1346" s="42"/>
      <c r="N1346" s="42"/>
      <c r="O1346" s="42"/>
      <c r="P1346" s="42"/>
      <c r="Q1346" s="42"/>
      <c r="R1346" s="42"/>
      <c r="S1346" s="42"/>
      <c r="T1346" s="42"/>
      <c r="U1346" s="42"/>
      <c r="V1346" s="42"/>
      <c r="W1346" s="42"/>
      <c r="X1346" s="42"/>
      <c r="Y1346" s="42"/>
      <c r="Z1346" s="42"/>
    </row>
    <row r="1347" ht="57.0" customHeight="1">
      <c r="A1347" s="57" t="s">
        <v>3590</v>
      </c>
      <c r="B1347" s="57" t="s">
        <v>227</v>
      </c>
      <c r="C1347" s="57" t="s">
        <v>3833</v>
      </c>
      <c r="D1347" s="57" t="s">
        <v>3834</v>
      </c>
      <c r="E1347" s="57"/>
      <c r="F1347" s="58">
        <v>45500.0</v>
      </c>
      <c r="G1347" s="57" t="s">
        <v>251</v>
      </c>
      <c r="H1347" s="59" t="s">
        <v>952</v>
      </c>
      <c r="I1347" s="59" t="s">
        <v>953</v>
      </c>
      <c r="J1347" s="61"/>
      <c r="K1347" s="61"/>
      <c r="L1347" s="42"/>
      <c r="M1347" s="42"/>
      <c r="N1347" s="42"/>
      <c r="O1347" s="42"/>
      <c r="P1347" s="42"/>
      <c r="Q1347" s="42"/>
      <c r="R1347" s="42"/>
      <c r="S1347" s="42"/>
      <c r="T1347" s="42"/>
      <c r="U1347" s="42"/>
      <c r="V1347" s="42"/>
      <c r="W1347" s="42"/>
      <c r="X1347" s="42"/>
      <c r="Y1347" s="42"/>
      <c r="Z1347" s="42"/>
    </row>
    <row r="1348" ht="57.0" customHeight="1">
      <c r="A1348" s="57" t="s">
        <v>3590</v>
      </c>
      <c r="B1348" s="57" t="s">
        <v>227</v>
      </c>
      <c r="C1348" s="57" t="s">
        <v>3835</v>
      </c>
      <c r="D1348" s="57" t="s">
        <v>3836</v>
      </c>
      <c r="E1348" s="57"/>
      <c r="F1348" s="58">
        <v>49500.0</v>
      </c>
      <c r="G1348" s="57" t="s">
        <v>251</v>
      </c>
      <c r="H1348" s="59" t="s">
        <v>952</v>
      </c>
      <c r="I1348" s="59" t="s">
        <v>953</v>
      </c>
      <c r="J1348" s="61"/>
      <c r="K1348" s="61"/>
      <c r="L1348" s="42"/>
      <c r="M1348" s="42"/>
      <c r="N1348" s="42"/>
      <c r="O1348" s="42"/>
      <c r="P1348" s="42"/>
      <c r="Q1348" s="42"/>
      <c r="R1348" s="42"/>
      <c r="S1348" s="42"/>
      <c r="T1348" s="42"/>
      <c r="U1348" s="42"/>
      <c r="V1348" s="42"/>
      <c r="W1348" s="42"/>
      <c r="X1348" s="42"/>
      <c r="Y1348" s="42"/>
      <c r="Z1348" s="42"/>
    </row>
    <row r="1349" ht="57.0" customHeight="1">
      <c r="A1349" s="57" t="s">
        <v>3590</v>
      </c>
      <c r="B1349" s="57" t="s">
        <v>227</v>
      </c>
      <c r="C1349" s="57" t="s">
        <v>3837</v>
      </c>
      <c r="D1349" s="57" t="s">
        <v>3838</v>
      </c>
      <c r="E1349" s="57"/>
      <c r="F1349" s="58">
        <v>52000.0</v>
      </c>
      <c r="G1349" s="57" t="s">
        <v>251</v>
      </c>
      <c r="H1349" s="59" t="s">
        <v>952</v>
      </c>
      <c r="I1349" s="59" t="s">
        <v>953</v>
      </c>
      <c r="J1349" s="61"/>
      <c r="K1349" s="61"/>
      <c r="L1349" s="42"/>
      <c r="M1349" s="42"/>
      <c r="N1349" s="42"/>
      <c r="O1349" s="42"/>
      <c r="P1349" s="42"/>
      <c r="Q1349" s="42"/>
      <c r="R1349" s="42"/>
      <c r="S1349" s="42"/>
      <c r="T1349" s="42"/>
      <c r="U1349" s="42"/>
      <c r="V1349" s="42"/>
      <c r="W1349" s="42"/>
      <c r="X1349" s="42"/>
      <c r="Y1349" s="42"/>
      <c r="Z1349" s="42"/>
    </row>
    <row r="1350" ht="57.0" customHeight="1">
      <c r="A1350" s="57" t="s">
        <v>3590</v>
      </c>
      <c r="B1350" s="57" t="s">
        <v>227</v>
      </c>
      <c r="C1350" s="57" t="s">
        <v>3839</v>
      </c>
      <c r="D1350" s="57" t="s">
        <v>3840</v>
      </c>
      <c r="E1350" s="57"/>
      <c r="F1350" s="58">
        <v>53500.0</v>
      </c>
      <c r="G1350" s="57" t="s">
        <v>251</v>
      </c>
      <c r="H1350" s="59" t="s">
        <v>952</v>
      </c>
      <c r="I1350" s="59" t="s">
        <v>953</v>
      </c>
      <c r="J1350" s="61"/>
      <c r="K1350" s="61"/>
      <c r="L1350" s="42"/>
      <c r="M1350" s="42"/>
      <c r="N1350" s="42"/>
      <c r="O1350" s="42"/>
      <c r="P1350" s="42"/>
      <c r="Q1350" s="42"/>
      <c r="R1350" s="42"/>
      <c r="S1350" s="42"/>
      <c r="T1350" s="42"/>
      <c r="U1350" s="42"/>
      <c r="V1350" s="42"/>
      <c r="W1350" s="42"/>
      <c r="X1350" s="42"/>
      <c r="Y1350" s="42"/>
      <c r="Z1350" s="42"/>
    </row>
    <row r="1351" ht="57.0" customHeight="1">
      <c r="A1351" s="57" t="s">
        <v>3590</v>
      </c>
      <c r="B1351" s="57" t="s">
        <v>227</v>
      </c>
      <c r="C1351" s="57" t="s">
        <v>3841</v>
      </c>
      <c r="D1351" s="57" t="s">
        <v>3842</v>
      </c>
      <c r="E1351" s="57"/>
      <c r="F1351" s="58">
        <v>56000.0</v>
      </c>
      <c r="G1351" s="57" t="s">
        <v>251</v>
      </c>
      <c r="H1351" s="59" t="s">
        <v>952</v>
      </c>
      <c r="I1351" s="59" t="s">
        <v>953</v>
      </c>
      <c r="J1351" s="61"/>
      <c r="K1351" s="61"/>
      <c r="L1351" s="42"/>
      <c r="M1351" s="42"/>
      <c r="N1351" s="42"/>
      <c r="O1351" s="42"/>
      <c r="P1351" s="42"/>
      <c r="Q1351" s="42"/>
      <c r="R1351" s="42"/>
      <c r="S1351" s="42"/>
      <c r="T1351" s="42"/>
      <c r="U1351" s="42"/>
      <c r="V1351" s="42"/>
      <c r="W1351" s="42"/>
      <c r="X1351" s="42"/>
      <c r="Y1351" s="42"/>
      <c r="Z1351" s="42"/>
    </row>
    <row r="1352" ht="57.0" customHeight="1">
      <c r="A1352" s="57" t="s">
        <v>3590</v>
      </c>
      <c r="B1352" s="57" t="s">
        <v>227</v>
      </c>
      <c r="C1352" s="57" t="s">
        <v>3843</v>
      </c>
      <c r="D1352" s="57" t="s">
        <v>3844</v>
      </c>
      <c r="E1352" s="57"/>
      <c r="F1352" s="58">
        <v>30900.0</v>
      </c>
      <c r="G1352" s="57" t="s">
        <v>251</v>
      </c>
      <c r="H1352" s="59" t="s">
        <v>952</v>
      </c>
      <c r="I1352" s="59" t="s">
        <v>953</v>
      </c>
      <c r="J1352" s="61"/>
      <c r="K1352" s="61"/>
      <c r="L1352" s="42"/>
      <c r="M1352" s="42"/>
      <c r="N1352" s="42"/>
      <c r="O1352" s="42"/>
      <c r="P1352" s="42"/>
      <c r="Q1352" s="42"/>
      <c r="R1352" s="42"/>
      <c r="S1352" s="42"/>
      <c r="T1352" s="42"/>
      <c r="U1352" s="42"/>
      <c r="V1352" s="42"/>
      <c r="W1352" s="42"/>
      <c r="X1352" s="42"/>
      <c r="Y1352" s="42"/>
      <c r="Z1352" s="42"/>
    </row>
    <row r="1353" ht="57.0" customHeight="1">
      <c r="A1353" s="57" t="s">
        <v>3590</v>
      </c>
      <c r="B1353" s="57" t="s">
        <v>227</v>
      </c>
      <c r="C1353" s="57" t="s">
        <v>3845</v>
      </c>
      <c r="D1353" s="57" t="s">
        <v>3846</v>
      </c>
      <c r="E1353" s="57"/>
      <c r="F1353" s="58">
        <v>33500.0</v>
      </c>
      <c r="G1353" s="57" t="s">
        <v>251</v>
      </c>
      <c r="H1353" s="59" t="s">
        <v>952</v>
      </c>
      <c r="I1353" s="59" t="s">
        <v>953</v>
      </c>
      <c r="J1353" s="61"/>
      <c r="K1353" s="61"/>
      <c r="L1353" s="42"/>
      <c r="M1353" s="42"/>
      <c r="N1353" s="42"/>
      <c r="O1353" s="42"/>
      <c r="P1353" s="42"/>
      <c r="Q1353" s="42"/>
      <c r="R1353" s="42"/>
      <c r="S1353" s="42"/>
      <c r="T1353" s="42"/>
      <c r="U1353" s="42"/>
      <c r="V1353" s="42"/>
      <c r="W1353" s="42"/>
      <c r="X1353" s="42"/>
      <c r="Y1353" s="42"/>
      <c r="Z1353" s="42"/>
    </row>
    <row r="1354" ht="57.0" customHeight="1">
      <c r="A1354" s="57" t="s">
        <v>3590</v>
      </c>
      <c r="B1354" s="57" t="s">
        <v>227</v>
      </c>
      <c r="C1354" s="57" t="s">
        <v>3847</v>
      </c>
      <c r="D1354" s="57" t="s">
        <v>3848</v>
      </c>
      <c r="E1354" s="57"/>
      <c r="F1354" s="58">
        <v>40900.0</v>
      </c>
      <c r="G1354" s="57" t="s">
        <v>251</v>
      </c>
      <c r="H1354" s="59" t="s">
        <v>952</v>
      </c>
      <c r="I1354" s="59" t="s">
        <v>953</v>
      </c>
      <c r="J1354" s="61"/>
      <c r="K1354" s="61"/>
      <c r="L1354" s="42"/>
      <c r="M1354" s="42"/>
      <c r="N1354" s="42"/>
      <c r="O1354" s="42"/>
      <c r="P1354" s="42"/>
      <c r="Q1354" s="42"/>
      <c r="R1354" s="42"/>
      <c r="S1354" s="42"/>
      <c r="T1354" s="42"/>
      <c r="U1354" s="42"/>
      <c r="V1354" s="42"/>
      <c r="W1354" s="42"/>
      <c r="X1354" s="42"/>
      <c r="Y1354" s="42"/>
      <c r="Z1354" s="42"/>
    </row>
    <row r="1355" ht="57.0" customHeight="1">
      <c r="A1355" s="57" t="s">
        <v>3590</v>
      </c>
      <c r="B1355" s="57" t="s">
        <v>227</v>
      </c>
      <c r="C1355" s="57" t="s">
        <v>3849</v>
      </c>
      <c r="D1355" s="57" t="s">
        <v>3850</v>
      </c>
      <c r="E1355" s="57"/>
      <c r="F1355" s="58">
        <v>47200.0</v>
      </c>
      <c r="G1355" s="57" t="s">
        <v>251</v>
      </c>
      <c r="H1355" s="59" t="s">
        <v>952</v>
      </c>
      <c r="I1355" s="59" t="s">
        <v>953</v>
      </c>
      <c r="J1355" s="61"/>
      <c r="K1355" s="61"/>
      <c r="L1355" s="42"/>
      <c r="M1355" s="42"/>
      <c r="N1355" s="42"/>
      <c r="O1355" s="42"/>
      <c r="P1355" s="42"/>
      <c r="Q1355" s="42"/>
      <c r="R1355" s="42"/>
      <c r="S1355" s="42"/>
      <c r="T1355" s="42"/>
      <c r="U1355" s="42"/>
      <c r="V1355" s="42"/>
      <c r="W1355" s="42"/>
      <c r="X1355" s="42"/>
      <c r="Y1355" s="42"/>
      <c r="Z1355" s="42"/>
    </row>
    <row r="1356" ht="57.0" customHeight="1">
      <c r="A1356" s="57" t="s">
        <v>3590</v>
      </c>
      <c r="B1356" s="57" t="s">
        <v>227</v>
      </c>
      <c r="C1356" s="57" t="s">
        <v>3851</v>
      </c>
      <c r="D1356" s="57" t="s">
        <v>3852</v>
      </c>
      <c r="E1356" s="57"/>
      <c r="F1356" s="58">
        <v>53600.0</v>
      </c>
      <c r="G1356" s="57" t="s">
        <v>251</v>
      </c>
      <c r="H1356" s="59" t="s">
        <v>952</v>
      </c>
      <c r="I1356" s="59" t="s">
        <v>953</v>
      </c>
      <c r="J1356" s="61"/>
      <c r="K1356" s="61"/>
      <c r="L1356" s="42"/>
      <c r="M1356" s="42"/>
      <c r="N1356" s="42"/>
      <c r="O1356" s="42"/>
      <c r="P1356" s="42"/>
      <c r="Q1356" s="42"/>
      <c r="R1356" s="42"/>
      <c r="S1356" s="42"/>
      <c r="T1356" s="42"/>
      <c r="U1356" s="42"/>
      <c r="V1356" s="42"/>
      <c r="W1356" s="42"/>
      <c r="X1356" s="42"/>
      <c r="Y1356" s="42"/>
      <c r="Z1356" s="42"/>
    </row>
    <row r="1357" ht="57.0" customHeight="1">
      <c r="A1357" s="57" t="s">
        <v>3590</v>
      </c>
      <c r="B1357" s="57" t="s">
        <v>227</v>
      </c>
      <c r="C1357" s="57" t="s">
        <v>3853</v>
      </c>
      <c r="D1357" s="57" t="s">
        <v>3854</v>
      </c>
      <c r="E1357" s="57"/>
      <c r="F1357" s="58">
        <v>58500.0</v>
      </c>
      <c r="G1357" s="57" t="s">
        <v>251</v>
      </c>
      <c r="H1357" s="59" t="s">
        <v>952</v>
      </c>
      <c r="I1357" s="59" t="s">
        <v>953</v>
      </c>
      <c r="J1357" s="61"/>
      <c r="K1357" s="61"/>
      <c r="L1357" s="42"/>
      <c r="M1357" s="42"/>
      <c r="N1357" s="42"/>
      <c r="O1357" s="42"/>
      <c r="P1357" s="42"/>
      <c r="Q1357" s="42"/>
      <c r="R1357" s="42"/>
      <c r="S1357" s="42"/>
      <c r="T1357" s="42"/>
      <c r="U1357" s="42"/>
      <c r="V1357" s="42"/>
      <c r="W1357" s="42"/>
      <c r="X1357" s="42"/>
      <c r="Y1357" s="42"/>
      <c r="Z1357" s="42"/>
    </row>
    <row r="1358" ht="57.0" customHeight="1">
      <c r="A1358" s="57" t="s">
        <v>3590</v>
      </c>
      <c r="B1358" s="57" t="s">
        <v>227</v>
      </c>
      <c r="C1358" s="57" t="s">
        <v>3855</v>
      </c>
      <c r="D1358" s="57" t="s">
        <v>3856</v>
      </c>
      <c r="E1358" s="57"/>
      <c r="F1358" s="58">
        <v>60900.0</v>
      </c>
      <c r="G1358" s="57" t="s">
        <v>251</v>
      </c>
      <c r="H1358" s="59" t="s">
        <v>952</v>
      </c>
      <c r="I1358" s="59" t="s">
        <v>953</v>
      </c>
      <c r="J1358" s="61"/>
      <c r="K1358" s="61"/>
      <c r="L1358" s="42"/>
      <c r="M1358" s="42"/>
      <c r="N1358" s="42"/>
      <c r="O1358" s="42"/>
      <c r="P1358" s="42"/>
      <c r="Q1358" s="42"/>
      <c r="R1358" s="42"/>
      <c r="S1358" s="42"/>
      <c r="T1358" s="42"/>
      <c r="U1358" s="42"/>
      <c r="V1358" s="42"/>
      <c r="W1358" s="42"/>
      <c r="X1358" s="42"/>
      <c r="Y1358" s="42"/>
      <c r="Z1358" s="42"/>
    </row>
    <row r="1359" ht="57.0" customHeight="1">
      <c r="A1359" s="57" t="s">
        <v>3590</v>
      </c>
      <c r="B1359" s="57" t="s">
        <v>227</v>
      </c>
      <c r="C1359" s="57" t="s">
        <v>3857</v>
      </c>
      <c r="D1359" s="57" t="s">
        <v>3858</v>
      </c>
      <c r="E1359" s="57"/>
      <c r="F1359" s="58">
        <v>16800.0</v>
      </c>
      <c r="G1359" s="57" t="s">
        <v>251</v>
      </c>
      <c r="H1359" s="59" t="s">
        <v>952</v>
      </c>
      <c r="I1359" s="59" t="s">
        <v>953</v>
      </c>
      <c r="J1359" s="61"/>
      <c r="K1359" s="61"/>
      <c r="L1359" s="42"/>
      <c r="M1359" s="42"/>
      <c r="N1359" s="42"/>
      <c r="O1359" s="42"/>
      <c r="P1359" s="42"/>
      <c r="Q1359" s="42"/>
      <c r="R1359" s="42"/>
      <c r="S1359" s="42"/>
      <c r="T1359" s="42"/>
      <c r="U1359" s="42"/>
      <c r="V1359" s="42"/>
      <c r="W1359" s="42"/>
      <c r="X1359" s="42"/>
      <c r="Y1359" s="42"/>
      <c r="Z1359" s="42"/>
    </row>
    <row r="1360" ht="57.0" customHeight="1">
      <c r="A1360" s="57" t="s">
        <v>3590</v>
      </c>
      <c r="B1360" s="57" t="s">
        <v>227</v>
      </c>
      <c r="C1360" s="57" t="s">
        <v>3859</v>
      </c>
      <c r="D1360" s="57" t="s">
        <v>3860</v>
      </c>
      <c r="E1360" s="57"/>
      <c r="F1360" s="58">
        <v>20300.0</v>
      </c>
      <c r="G1360" s="57" t="s">
        <v>251</v>
      </c>
      <c r="H1360" s="59" t="s">
        <v>952</v>
      </c>
      <c r="I1360" s="59" t="s">
        <v>953</v>
      </c>
      <c r="J1360" s="61"/>
      <c r="K1360" s="61"/>
      <c r="L1360" s="42"/>
      <c r="M1360" s="42"/>
      <c r="N1360" s="42"/>
      <c r="O1360" s="42"/>
      <c r="P1360" s="42"/>
      <c r="Q1360" s="42"/>
      <c r="R1360" s="42"/>
      <c r="S1360" s="42"/>
      <c r="T1360" s="42"/>
      <c r="U1360" s="42"/>
      <c r="V1360" s="42"/>
      <c r="W1360" s="42"/>
      <c r="X1360" s="42"/>
      <c r="Y1360" s="42"/>
      <c r="Z1360" s="42"/>
    </row>
    <row r="1361" ht="57.0" customHeight="1">
      <c r="A1361" s="57" t="s">
        <v>3590</v>
      </c>
      <c r="B1361" s="57" t="s">
        <v>227</v>
      </c>
      <c r="C1361" s="57" t="s">
        <v>3861</v>
      </c>
      <c r="D1361" s="57" t="s">
        <v>3862</v>
      </c>
      <c r="E1361" s="57"/>
      <c r="F1361" s="58">
        <v>21500.0</v>
      </c>
      <c r="G1361" s="57" t="s">
        <v>251</v>
      </c>
      <c r="H1361" s="59" t="s">
        <v>952</v>
      </c>
      <c r="I1361" s="59" t="s">
        <v>953</v>
      </c>
      <c r="J1361" s="61"/>
      <c r="K1361" s="61"/>
      <c r="L1361" s="42"/>
      <c r="M1361" s="42"/>
      <c r="N1361" s="42"/>
      <c r="O1361" s="42"/>
      <c r="P1361" s="42"/>
      <c r="Q1361" s="42"/>
      <c r="R1361" s="42"/>
      <c r="S1361" s="42"/>
      <c r="T1361" s="42"/>
      <c r="U1361" s="42"/>
      <c r="V1361" s="42"/>
      <c r="W1361" s="42"/>
      <c r="X1361" s="42"/>
      <c r="Y1361" s="42"/>
      <c r="Z1361" s="42"/>
    </row>
    <row r="1362" ht="57.0" customHeight="1">
      <c r="A1362" s="57" t="s">
        <v>3590</v>
      </c>
      <c r="B1362" s="57" t="s">
        <v>227</v>
      </c>
      <c r="C1362" s="57" t="s">
        <v>3863</v>
      </c>
      <c r="D1362" s="57" t="s">
        <v>3864</v>
      </c>
      <c r="E1362" s="57"/>
      <c r="F1362" s="58">
        <v>24900.0</v>
      </c>
      <c r="G1362" s="57" t="s">
        <v>251</v>
      </c>
      <c r="H1362" s="59" t="s">
        <v>952</v>
      </c>
      <c r="I1362" s="59" t="s">
        <v>953</v>
      </c>
      <c r="J1362" s="61"/>
      <c r="K1362" s="61"/>
      <c r="L1362" s="42"/>
      <c r="M1362" s="42"/>
      <c r="N1362" s="42"/>
      <c r="O1362" s="42"/>
      <c r="P1362" s="42"/>
      <c r="Q1362" s="42"/>
      <c r="R1362" s="42"/>
      <c r="S1362" s="42"/>
      <c r="T1362" s="42"/>
      <c r="U1362" s="42"/>
      <c r="V1362" s="42"/>
      <c r="W1362" s="42"/>
      <c r="X1362" s="42"/>
      <c r="Y1362" s="42"/>
      <c r="Z1362" s="42"/>
    </row>
    <row r="1363" ht="57.0" customHeight="1">
      <c r="A1363" s="57" t="s">
        <v>3590</v>
      </c>
      <c r="B1363" s="57" t="s">
        <v>227</v>
      </c>
      <c r="C1363" s="57" t="s">
        <v>3865</v>
      </c>
      <c r="D1363" s="57" t="s">
        <v>3866</v>
      </c>
      <c r="E1363" s="57"/>
      <c r="F1363" s="58">
        <v>19500.0</v>
      </c>
      <c r="G1363" s="57" t="s">
        <v>251</v>
      </c>
      <c r="H1363" s="59" t="s">
        <v>952</v>
      </c>
      <c r="I1363" s="59" t="s">
        <v>953</v>
      </c>
      <c r="J1363" s="61"/>
      <c r="K1363" s="61"/>
      <c r="L1363" s="42"/>
      <c r="M1363" s="42"/>
      <c r="N1363" s="42"/>
      <c r="O1363" s="42"/>
      <c r="P1363" s="42"/>
      <c r="Q1363" s="42"/>
      <c r="R1363" s="42"/>
      <c r="S1363" s="42"/>
      <c r="T1363" s="42"/>
      <c r="U1363" s="42"/>
      <c r="V1363" s="42"/>
      <c r="W1363" s="42"/>
      <c r="X1363" s="42"/>
      <c r="Y1363" s="42"/>
      <c r="Z1363" s="42"/>
    </row>
    <row r="1364" ht="57.0" customHeight="1">
      <c r="A1364" s="57" t="s">
        <v>3590</v>
      </c>
      <c r="B1364" s="57" t="s">
        <v>227</v>
      </c>
      <c r="C1364" s="57" t="s">
        <v>3867</v>
      </c>
      <c r="D1364" s="57" t="s">
        <v>3868</v>
      </c>
      <c r="E1364" s="57"/>
      <c r="F1364" s="58">
        <v>24900.0</v>
      </c>
      <c r="G1364" s="57" t="s">
        <v>251</v>
      </c>
      <c r="H1364" s="59" t="s">
        <v>952</v>
      </c>
      <c r="I1364" s="59" t="s">
        <v>953</v>
      </c>
      <c r="J1364" s="61"/>
      <c r="K1364" s="61"/>
      <c r="L1364" s="42"/>
      <c r="M1364" s="42"/>
      <c r="N1364" s="42"/>
      <c r="O1364" s="42"/>
      <c r="P1364" s="42"/>
      <c r="Q1364" s="42"/>
      <c r="R1364" s="42"/>
      <c r="S1364" s="42"/>
      <c r="T1364" s="42"/>
      <c r="U1364" s="42"/>
      <c r="V1364" s="42"/>
      <c r="W1364" s="42"/>
      <c r="X1364" s="42"/>
      <c r="Y1364" s="42"/>
      <c r="Z1364" s="42"/>
    </row>
    <row r="1365" ht="57.0" customHeight="1">
      <c r="A1365" s="57" t="s">
        <v>3590</v>
      </c>
      <c r="B1365" s="57" t="s">
        <v>227</v>
      </c>
      <c r="C1365" s="57" t="s">
        <v>3869</v>
      </c>
      <c r="D1365" s="57" t="s">
        <v>3870</v>
      </c>
      <c r="E1365" s="57"/>
      <c r="F1365" s="58">
        <v>27900.0</v>
      </c>
      <c r="G1365" s="57" t="s">
        <v>251</v>
      </c>
      <c r="H1365" s="59" t="s">
        <v>952</v>
      </c>
      <c r="I1365" s="59" t="s">
        <v>953</v>
      </c>
      <c r="J1365" s="61"/>
      <c r="K1365" s="61"/>
      <c r="L1365" s="42"/>
      <c r="M1365" s="42"/>
      <c r="N1365" s="42"/>
      <c r="O1365" s="42"/>
      <c r="P1365" s="42"/>
      <c r="Q1365" s="42"/>
      <c r="R1365" s="42"/>
      <c r="S1365" s="42"/>
      <c r="T1365" s="42"/>
      <c r="U1365" s="42"/>
      <c r="V1365" s="42"/>
      <c r="W1365" s="42"/>
      <c r="X1365" s="42"/>
      <c r="Y1365" s="42"/>
      <c r="Z1365" s="42"/>
    </row>
    <row r="1366" ht="57.0" customHeight="1">
      <c r="A1366" s="57" t="s">
        <v>3590</v>
      </c>
      <c r="B1366" s="57" t="s">
        <v>227</v>
      </c>
      <c r="C1366" s="57" t="s">
        <v>3871</v>
      </c>
      <c r="D1366" s="57" t="s">
        <v>3872</v>
      </c>
      <c r="E1366" s="57"/>
      <c r="F1366" s="58">
        <v>37900.0</v>
      </c>
      <c r="G1366" s="57" t="s">
        <v>251</v>
      </c>
      <c r="H1366" s="59" t="s">
        <v>952</v>
      </c>
      <c r="I1366" s="59" t="s">
        <v>953</v>
      </c>
      <c r="J1366" s="61"/>
      <c r="K1366" s="61"/>
      <c r="L1366" s="42"/>
      <c r="M1366" s="42"/>
      <c r="N1366" s="42"/>
      <c r="O1366" s="42"/>
      <c r="P1366" s="42"/>
      <c r="Q1366" s="42"/>
      <c r="R1366" s="42"/>
      <c r="S1366" s="42"/>
      <c r="T1366" s="42"/>
      <c r="U1366" s="42"/>
      <c r="V1366" s="42"/>
      <c r="W1366" s="42"/>
      <c r="X1366" s="42"/>
      <c r="Y1366" s="42"/>
      <c r="Z1366" s="42"/>
    </row>
    <row r="1367" ht="57.0" customHeight="1">
      <c r="A1367" s="57" t="s">
        <v>3590</v>
      </c>
      <c r="B1367" s="57" t="s">
        <v>227</v>
      </c>
      <c r="C1367" s="57" t="s">
        <v>3873</v>
      </c>
      <c r="D1367" s="57" t="s">
        <v>3874</v>
      </c>
      <c r="E1367" s="57"/>
      <c r="F1367" s="58">
        <v>56500.0</v>
      </c>
      <c r="G1367" s="57" t="s">
        <v>251</v>
      </c>
      <c r="H1367" s="59" t="s">
        <v>952</v>
      </c>
      <c r="I1367" s="59" t="s">
        <v>953</v>
      </c>
      <c r="J1367" s="61"/>
      <c r="K1367" s="61"/>
      <c r="L1367" s="42"/>
      <c r="M1367" s="42"/>
      <c r="N1367" s="42"/>
      <c r="O1367" s="42"/>
      <c r="P1367" s="42"/>
      <c r="Q1367" s="42"/>
      <c r="R1367" s="42"/>
      <c r="S1367" s="42"/>
      <c r="T1367" s="42"/>
      <c r="U1367" s="42"/>
      <c r="V1367" s="42"/>
      <c r="W1367" s="42"/>
      <c r="X1367" s="42"/>
      <c r="Y1367" s="42"/>
      <c r="Z1367" s="42"/>
    </row>
    <row r="1368" ht="57.0" customHeight="1">
      <c r="A1368" s="57" t="s">
        <v>3590</v>
      </c>
      <c r="B1368" s="57" t="s">
        <v>227</v>
      </c>
      <c r="C1368" s="57" t="s">
        <v>3875</v>
      </c>
      <c r="D1368" s="57" t="s">
        <v>3876</v>
      </c>
      <c r="E1368" s="57"/>
      <c r="F1368" s="58">
        <v>57500.0</v>
      </c>
      <c r="G1368" s="57" t="s">
        <v>251</v>
      </c>
      <c r="H1368" s="59" t="s">
        <v>952</v>
      </c>
      <c r="I1368" s="59" t="s">
        <v>953</v>
      </c>
      <c r="J1368" s="61"/>
      <c r="K1368" s="61"/>
      <c r="L1368" s="42"/>
      <c r="M1368" s="42"/>
      <c r="N1368" s="42"/>
      <c r="O1368" s="42"/>
      <c r="P1368" s="42"/>
      <c r="Q1368" s="42"/>
      <c r="R1368" s="42"/>
      <c r="S1368" s="42"/>
      <c r="T1368" s="42"/>
      <c r="U1368" s="42"/>
      <c r="V1368" s="42"/>
      <c r="W1368" s="42"/>
      <c r="X1368" s="42"/>
      <c r="Y1368" s="42"/>
      <c r="Z1368" s="42"/>
    </row>
    <row r="1369" ht="85.5" customHeight="1">
      <c r="A1369" s="57" t="s">
        <v>3590</v>
      </c>
      <c r="B1369" s="57" t="s">
        <v>227</v>
      </c>
      <c r="C1369" s="57" t="s">
        <v>3877</v>
      </c>
      <c r="D1369" s="57" t="s">
        <v>3878</v>
      </c>
      <c r="E1369" s="57"/>
      <c r="F1369" s="58">
        <v>47000.0</v>
      </c>
      <c r="G1369" s="57" t="s">
        <v>251</v>
      </c>
      <c r="H1369" s="59" t="s">
        <v>952</v>
      </c>
      <c r="I1369" s="59" t="s">
        <v>953</v>
      </c>
      <c r="J1369" s="61"/>
      <c r="K1369" s="61"/>
      <c r="L1369" s="42"/>
      <c r="M1369" s="42"/>
      <c r="N1369" s="42"/>
      <c r="O1369" s="42"/>
      <c r="P1369" s="42"/>
      <c r="Q1369" s="42"/>
      <c r="R1369" s="42"/>
      <c r="S1369" s="42"/>
      <c r="T1369" s="42"/>
      <c r="U1369" s="42"/>
      <c r="V1369" s="42"/>
      <c r="W1369" s="42"/>
      <c r="X1369" s="42"/>
      <c r="Y1369" s="42"/>
      <c r="Z1369" s="42"/>
    </row>
    <row r="1370" ht="85.5" customHeight="1">
      <c r="A1370" s="57" t="s">
        <v>3590</v>
      </c>
      <c r="B1370" s="57" t="s">
        <v>227</v>
      </c>
      <c r="C1370" s="57" t="s">
        <v>3879</v>
      </c>
      <c r="D1370" s="57" t="s">
        <v>3880</v>
      </c>
      <c r="E1370" s="57"/>
      <c r="F1370" s="58">
        <v>54400.0</v>
      </c>
      <c r="G1370" s="57" t="s">
        <v>251</v>
      </c>
      <c r="H1370" s="59" t="s">
        <v>952</v>
      </c>
      <c r="I1370" s="59" t="s">
        <v>953</v>
      </c>
      <c r="J1370" s="61"/>
      <c r="K1370" s="61"/>
      <c r="L1370" s="42"/>
      <c r="M1370" s="42"/>
      <c r="N1370" s="42"/>
      <c r="O1370" s="42"/>
      <c r="P1370" s="42"/>
      <c r="Q1370" s="42"/>
      <c r="R1370" s="42"/>
      <c r="S1370" s="42"/>
      <c r="T1370" s="42"/>
      <c r="U1370" s="42"/>
      <c r="V1370" s="42"/>
      <c r="W1370" s="42"/>
      <c r="X1370" s="42"/>
      <c r="Y1370" s="42"/>
      <c r="Z1370" s="42"/>
    </row>
    <row r="1371" ht="85.5" customHeight="1">
      <c r="A1371" s="57" t="s">
        <v>3590</v>
      </c>
      <c r="B1371" s="57" t="s">
        <v>227</v>
      </c>
      <c r="C1371" s="57" t="s">
        <v>3881</v>
      </c>
      <c r="D1371" s="57" t="s">
        <v>3882</v>
      </c>
      <c r="E1371" s="57"/>
      <c r="F1371" s="58">
        <v>12500.0</v>
      </c>
      <c r="G1371" s="57" t="s">
        <v>251</v>
      </c>
      <c r="H1371" s="59" t="s">
        <v>594</v>
      </c>
      <c r="I1371" s="59" t="s">
        <v>3883</v>
      </c>
      <c r="J1371" s="61" t="s">
        <v>3884</v>
      </c>
      <c r="K1371" s="67">
        <v>26816.0</v>
      </c>
      <c r="L1371" s="42"/>
      <c r="M1371" s="42"/>
      <c r="N1371" s="42"/>
      <c r="O1371" s="42"/>
      <c r="P1371" s="42"/>
      <c r="Q1371" s="42"/>
      <c r="R1371" s="42"/>
      <c r="S1371" s="42"/>
      <c r="T1371" s="42"/>
      <c r="U1371" s="42"/>
      <c r="V1371" s="42"/>
      <c r="W1371" s="42"/>
      <c r="X1371" s="42"/>
      <c r="Y1371" s="42"/>
      <c r="Z1371" s="42"/>
    </row>
    <row r="1372" ht="85.5" customHeight="1">
      <c r="A1372" s="57" t="s">
        <v>3590</v>
      </c>
      <c r="B1372" s="57" t="s">
        <v>227</v>
      </c>
      <c r="C1372" s="57" t="s">
        <v>3885</v>
      </c>
      <c r="D1372" s="57" t="s">
        <v>3886</v>
      </c>
      <c r="E1372" s="57"/>
      <c r="F1372" s="58">
        <v>22000.0</v>
      </c>
      <c r="G1372" s="57" t="s">
        <v>251</v>
      </c>
      <c r="H1372" s="59" t="s">
        <v>594</v>
      </c>
      <c r="I1372" s="59" t="s">
        <v>3883</v>
      </c>
      <c r="J1372" s="61" t="s">
        <v>3884</v>
      </c>
      <c r="K1372" s="67">
        <v>26816.0</v>
      </c>
      <c r="L1372" s="42"/>
      <c r="M1372" s="42"/>
      <c r="N1372" s="42"/>
      <c r="O1372" s="42"/>
      <c r="P1372" s="42"/>
      <c r="Q1372" s="42"/>
      <c r="R1372" s="42"/>
      <c r="S1372" s="42"/>
      <c r="T1372" s="42"/>
      <c r="U1372" s="42"/>
      <c r="V1372" s="42"/>
      <c r="W1372" s="42"/>
      <c r="X1372" s="42"/>
      <c r="Y1372" s="42"/>
      <c r="Z1372" s="42"/>
    </row>
    <row r="1373" ht="85.5" customHeight="1">
      <c r="A1373" s="57" t="s">
        <v>3590</v>
      </c>
      <c r="B1373" s="57" t="s">
        <v>227</v>
      </c>
      <c r="C1373" s="57" t="s">
        <v>3887</v>
      </c>
      <c r="D1373" s="57" t="s">
        <v>3888</v>
      </c>
      <c r="E1373" s="57"/>
      <c r="F1373" s="58">
        <v>42000.0</v>
      </c>
      <c r="G1373" s="57" t="s">
        <v>251</v>
      </c>
      <c r="H1373" s="59" t="s">
        <v>594</v>
      </c>
      <c r="I1373" s="59" t="s">
        <v>3883</v>
      </c>
      <c r="J1373" s="61" t="s">
        <v>3884</v>
      </c>
      <c r="K1373" s="67">
        <v>26816.0</v>
      </c>
      <c r="L1373" s="42"/>
      <c r="M1373" s="42"/>
      <c r="N1373" s="42"/>
      <c r="O1373" s="42"/>
      <c r="P1373" s="42"/>
      <c r="Q1373" s="42"/>
      <c r="R1373" s="42"/>
      <c r="S1373" s="42"/>
      <c r="T1373" s="42"/>
      <c r="U1373" s="42"/>
      <c r="V1373" s="42"/>
      <c r="W1373" s="42"/>
      <c r="X1373" s="42"/>
      <c r="Y1373" s="42"/>
      <c r="Z1373" s="42"/>
    </row>
    <row r="1374" ht="85.5" customHeight="1">
      <c r="A1374" s="57" t="s">
        <v>3590</v>
      </c>
      <c r="B1374" s="57" t="s">
        <v>227</v>
      </c>
      <c r="C1374" s="57" t="s">
        <v>3889</v>
      </c>
      <c r="D1374" s="57" t="s">
        <v>3890</v>
      </c>
      <c r="E1374" s="57"/>
      <c r="F1374" s="58">
        <v>205000.0</v>
      </c>
      <c r="G1374" s="57" t="s">
        <v>251</v>
      </c>
      <c r="H1374" s="59" t="s">
        <v>594</v>
      </c>
      <c r="I1374" s="59" t="s">
        <v>3883</v>
      </c>
      <c r="J1374" s="61" t="s">
        <v>3884</v>
      </c>
      <c r="K1374" s="67">
        <v>26816.0</v>
      </c>
      <c r="L1374" s="42"/>
      <c r="M1374" s="42"/>
      <c r="N1374" s="42"/>
      <c r="O1374" s="42"/>
      <c r="P1374" s="42"/>
      <c r="Q1374" s="42"/>
      <c r="R1374" s="42"/>
      <c r="S1374" s="42"/>
      <c r="T1374" s="42"/>
      <c r="U1374" s="42"/>
      <c r="V1374" s="42"/>
      <c r="W1374" s="42"/>
      <c r="X1374" s="42"/>
      <c r="Y1374" s="42"/>
      <c r="Z1374" s="42"/>
    </row>
    <row r="1375" ht="199.5" customHeight="1">
      <c r="A1375" s="57" t="s">
        <v>3590</v>
      </c>
      <c r="B1375" s="57" t="s">
        <v>227</v>
      </c>
      <c r="C1375" s="57" t="s">
        <v>3891</v>
      </c>
      <c r="D1375" s="57" t="s">
        <v>3892</v>
      </c>
      <c r="E1375" s="57"/>
      <c r="F1375" s="58">
        <v>32000.0</v>
      </c>
      <c r="G1375" s="57" t="s">
        <v>467</v>
      </c>
      <c r="H1375" s="59" t="s">
        <v>594</v>
      </c>
      <c r="I1375" s="59" t="s">
        <v>595</v>
      </c>
      <c r="J1375" s="57" t="s">
        <v>3893</v>
      </c>
      <c r="K1375" s="67">
        <v>26054.0</v>
      </c>
      <c r="L1375" s="42"/>
      <c r="M1375" s="42"/>
      <c r="N1375" s="42"/>
      <c r="O1375" s="42"/>
      <c r="P1375" s="42"/>
      <c r="Q1375" s="42"/>
      <c r="R1375" s="42"/>
      <c r="S1375" s="42"/>
      <c r="T1375" s="42"/>
      <c r="U1375" s="42"/>
      <c r="V1375" s="42"/>
      <c r="W1375" s="42"/>
      <c r="X1375" s="42"/>
      <c r="Y1375" s="42"/>
      <c r="Z1375" s="42"/>
    </row>
    <row r="1376" ht="199.5" customHeight="1">
      <c r="A1376" s="57" t="s">
        <v>3590</v>
      </c>
      <c r="B1376" s="57" t="s">
        <v>227</v>
      </c>
      <c r="C1376" s="57" t="s">
        <v>3894</v>
      </c>
      <c r="D1376" s="57" t="s">
        <v>3895</v>
      </c>
      <c r="E1376" s="57"/>
      <c r="F1376" s="58">
        <v>37800.0</v>
      </c>
      <c r="G1376" s="57" t="s">
        <v>467</v>
      </c>
      <c r="H1376" s="59" t="s">
        <v>594</v>
      </c>
      <c r="I1376" s="59" t="s">
        <v>595</v>
      </c>
      <c r="J1376" s="57" t="s">
        <v>3893</v>
      </c>
      <c r="K1376" s="67">
        <v>26054.0</v>
      </c>
      <c r="L1376" s="42"/>
      <c r="M1376" s="42"/>
      <c r="N1376" s="42"/>
      <c r="O1376" s="42"/>
      <c r="P1376" s="42"/>
      <c r="Q1376" s="42"/>
      <c r="R1376" s="42"/>
      <c r="S1376" s="42"/>
      <c r="T1376" s="42"/>
      <c r="U1376" s="42"/>
      <c r="V1376" s="42"/>
      <c r="W1376" s="42"/>
      <c r="X1376" s="42"/>
      <c r="Y1376" s="42"/>
      <c r="Z1376" s="42"/>
    </row>
    <row r="1377" ht="199.5" customHeight="1">
      <c r="A1377" s="57" t="s">
        <v>3590</v>
      </c>
      <c r="B1377" s="57" t="s">
        <v>227</v>
      </c>
      <c r="C1377" s="57" t="s">
        <v>3896</v>
      </c>
      <c r="D1377" s="57" t="s">
        <v>3897</v>
      </c>
      <c r="E1377" s="57"/>
      <c r="F1377" s="58">
        <v>42300.0</v>
      </c>
      <c r="G1377" s="57" t="s">
        <v>467</v>
      </c>
      <c r="H1377" s="59" t="s">
        <v>594</v>
      </c>
      <c r="I1377" s="59" t="s">
        <v>595</v>
      </c>
      <c r="J1377" s="57" t="s">
        <v>3893</v>
      </c>
      <c r="K1377" s="67">
        <v>26054.0</v>
      </c>
      <c r="L1377" s="42"/>
      <c r="M1377" s="42"/>
      <c r="N1377" s="42"/>
      <c r="O1377" s="42"/>
      <c r="P1377" s="42"/>
      <c r="Q1377" s="42"/>
      <c r="R1377" s="42"/>
      <c r="S1377" s="42"/>
      <c r="T1377" s="42"/>
      <c r="U1377" s="42"/>
      <c r="V1377" s="42"/>
      <c r="W1377" s="42"/>
      <c r="X1377" s="42"/>
      <c r="Y1377" s="42"/>
      <c r="Z1377" s="42"/>
    </row>
    <row r="1378" ht="199.5" customHeight="1">
      <c r="A1378" s="57" t="s">
        <v>3590</v>
      </c>
      <c r="B1378" s="57" t="s">
        <v>227</v>
      </c>
      <c r="C1378" s="57" t="s">
        <v>3898</v>
      </c>
      <c r="D1378" s="57" t="s">
        <v>3899</v>
      </c>
      <c r="E1378" s="57"/>
      <c r="F1378" s="58">
        <v>47000.0</v>
      </c>
      <c r="G1378" s="57" t="s">
        <v>467</v>
      </c>
      <c r="H1378" s="59" t="s">
        <v>594</v>
      </c>
      <c r="I1378" s="59" t="s">
        <v>595</v>
      </c>
      <c r="J1378" s="57" t="s">
        <v>3893</v>
      </c>
      <c r="K1378" s="67">
        <v>26054.0</v>
      </c>
      <c r="L1378" s="42"/>
      <c r="M1378" s="42"/>
      <c r="N1378" s="42"/>
      <c r="O1378" s="42"/>
      <c r="P1378" s="42"/>
      <c r="Q1378" s="42"/>
      <c r="R1378" s="42"/>
      <c r="S1378" s="42"/>
      <c r="T1378" s="42"/>
      <c r="U1378" s="42"/>
      <c r="V1378" s="42"/>
      <c r="W1378" s="42"/>
      <c r="X1378" s="42"/>
      <c r="Y1378" s="42"/>
      <c r="Z1378" s="42"/>
    </row>
    <row r="1379" ht="199.5" customHeight="1">
      <c r="A1379" s="57" t="s">
        <v>3590</v>
      </c>
      <c r="B1379" s="57" t="s">
        <v>227</v>
      </c>
      <c r="C1379" s="57" t="s">
        <v>3900</v>
      </c>
      <c r="D1379" s="57" t="s">
        <v>3901</v>
      </c>
      <c r="E1379" s="57"/>
      <c r="F1379" s="58">
        <v>51800.0</v>
      </c>
      <c r="G1379" s="57" t="s">
        <v>467</v>
      </c>
      <c r="H1379" s="59" t="s">
        <v>594</v>
      </c>
      <c r="I1379" s="59" t="s">
        <v>595</v>
      </c>
      <c r="J1379" s="57" t="s">
        <v>3893</v>
      </c>
      <c r="K1379" s="67">
        <v>26054.0</v>
      </c>
      <c r="L1379" s="42"/>
      <c r="M1379" s="42"/>
      <c r="N1379" s="42"/>
      <c r="O1379" s="42"/>
      <c r="P1379" s="42"/>
      <c r="Q1379" s="42"/>
      <c r="R1379" s="42"/>
      <c r="S1379" s="42"/>
      <c r="T1379" s="42"/>
      <c r="U1379" s="42"/>
      <c r="V1379" s="42"/>
      <c r="W1379" s="42"/>
      <c r="X1379" s="42"/>
      <c r="Y1379" s="42"/>
      <c r="Z1379" s="42"/>
    </row>
    <row r="1380" ht="199.5" customHeight="1">
      <c r="A1380" s="57" t="s">
        <v>3590</v>
      </c>
      <c r="B1380" s="57" t="s">
        <v>227</v>
      </c>
      <c r="C1380" s="57" t="s">
        <v>3902</v>
      </c>
      <c r="D1380" s="57" t="s">
        <v>3903</v>
      </c>
      <c r="E1380" s="57"/>
      <c r="F1380" s="58">
        <v>54900.0</v>
      </c>
      <c r="G1380" s="57" t="s">
        <v>467</v>
      </c>
      <c r="H1380" s="59" t="s">
        <v>594</v>
      </c>
      <c r="I1380" s="59" t="s">
        <v>595</v>
      </c>
      <c r="J1380" s="57" t="s">
        <v>3893</v>
      </c>
      <c r="K1380" s="67">
        <v>26054.0</v>
      </c>
      <c r="L1380" s="42"/>
      <c r="M1380" s="42"/>
      <c r="N1380" s="42"/>
      <c r="O1380" s="42"/>
      <c r="P1380" s="42"/>
      <c r="Q1380" s="42"/>
      <c r="R1380" s="42"/>
      <c r="S1380" s="42"/>
      <c r="T1380" s="42"/>
      <c r="U1380" s="42"/>
      <c r="V1380" s="42"/>
      <c r="W1380" s="42"/>
      <c r="X1380" s="42"/>
      <c r="Y1380" s="42"/>
      <c r="Z1380" s="42"/>
    </row>
    <row r="1381" ht="199.5" customHeight="1">
      <c r="A1381" s="57" t="s">
        <v>3590</v>
      </c>
      <c r="B1381" s="57" t="s">
        <v>227</v>
      </c>
      <c r="C1381" s="57" t="s">
        <v>3904</v>
      </c>
      <c r="D1381" s="57" t="s">
        <v>3905</v>
      </c>
      <c r="E1381" s="57"/>
      <c r="F1381" s="58">
        <v>58500.0</v>
      </c>
      <c r="G1381" s="57" t="s">
        <v>467</v>
      </c>
      <c r="H1381" s="59" t="s">
        <v>594</v>
      </c>
      <c r="I1381" s="59" t="s">
        <v>595</v>
      </c>
      <c r="J1381" s="57" t="s">
        <v>3893</v>
      </c>
      <c r="K1381" s="67">
        <v>26054.0</v>
      </c>
      <c r="L1381" s="42"/>
      <c r="M1381" s="42"/>
      <c r="N1381" s="42"/>
      <c r="O1381" s="42"/>
      <c r="P1381" s="42"/>
      <c r="Q1381" s="42"/>
      <c r="R1381" s="42"/>
      <c r="S1381" s="42"/>
      <c r="T1381" s="42"/>
      <c r="U1381" s="42"/>
      <c r="V1381" s="42"/>
      <c r="W1381" s="42"/>
      <c r="X1381" s="42"/>
      <c r="Y1381" s="42"/>
      <c r="Z1381" s="42"/>
    </row>
    <row r="1382" ht="199.5" customHeight="1">
      <c r="A1382" s="57" t="s">
        <v>3590</v>
      </c>
      <c r="B1382" s="57" t="s">
        <v>227</v>
      </c>
      <c r="C1382" s="57" t="s">
        <v>3906</v>
      </c>
      <c r="D1382" s="57" t="s">
        <v>3907</v>
      </c>
      <c r="E1382" s="57"/>
      <c r="F1382" s="58">
        <v>62600.0</v>
      </c>
      <c r="G1382" s="57" t="s">
        <v>467</v>
      </c>
      <c r="H1382" s="59" t="s">
        <v>594</v>
      </c>
      <c r="I1382" s="59" t="s">
        <v>595</v>
      </c>
      <c r="J1382" s="57" t="s">
        <v>3893</v>
      </c>
      <c r="K1382" s="67">
        <v>26054.0</v>
      </c>
      <c r="L1382" s="42"/>
      <c r="M1382" s="42"/>
      <c r="N1382" s="42"/>
      <c r="O1382" s="42"/>
      <c r="P1382" s="42"/>
      <c r="Q1382" s="42"/>
      <c r="R1382" s="42"/>
      <c r="S1382" s="42"/>
      <c r="T1382" s="42"/>
      <c r="U1382" s="42"/>
      <c r="V1382" s="42"/>
      <c r="W1382" s="42"/>
      <c r="X1382" s="42"/>
      <c r="Y1382" s="42"/>
      <c r="Z1382" s="42"/>
    </row>
    <row r="1383" ht="114.0" customHeight="1">
      <c r="A1383" s="57" t="s">
        <v>3590</v>
      </c>
      <c r="B1383" s="57" t="s">
        <v>227</v>
      </c>
      <c r="C1383" s="57" t="s">
        <v>3908</v>
      </c>
      <c r="D1383" s="57" t="s">
        <v>3909</v>
      </c>
      <c r="E1383" s="57"/>
      <c r="F1383" s="58">
        <v>170000.0</v>
      </c>
      <c r="G1383" s="57" t="s">
        <v>467</v>
      </c>
      <c r="H1383" s="59" t="s">
        <v>594</v>
      </c>
      <c r="I1383" s="59" t="s">
        <v>3910</v>
      </c>
      <c r="J1383" s="61" t="s">
        <v>3911</v>
      </c>
      <c r="K1383" s="67">
        <v>26451.0</v>
      </c>
      <c r="L1383" s="42"/>
      <c r="M1383" s="42"/>
      <c r="N1383" s="42"/>
      <c r="O1383" s="42"/>
      <c r="P1383" s="42"/>
      <c r="Q1383" s="42"/>
      <c r="R1383" s="42"/>
      <c r="S1383" s="42"/>
      <c r="T1383" s="42"/>
      <c r="U1383" s="42"/>
      <c r="V1383" s="42"/>
      <c r="W1383" s="42"/>
      <c r="X1383" s="42"/>
      <c r="Y1383" s="42"/>
      <c r="Z1383" s="42"/>
    </row>
    <row r="1384" ht="142.5" customHeight="1">
      <c r="A1384" s="57" t="s">
        <v>3590</v>
      </c>
      <c r="B1384" s="57" t="s">
        <v>227</v>
      </c>
      <c r="C1384" s="57" t="s">
        <v>3912</v>
      </c>
      <c r="D1384" s="57" t="s">
        <v>3913</v>
      </c>
      <c r="E1384" s="57"/>
      <c r="F1384" s="58">
        <v>6800.0</v>
      </c>
      <c r="G1384" s="57" t="s">
        <v>251</v>
      </c>
      <c r="H1384" s="59" t="s">
        <v>594</v>
      </c>
      <c r="I1384" s="59" t="s">
        <v>1110</v>
      </c>
      <c r="J1384" s="61" t="s">
        <v>3914</v>
      </c>
      <c r="K1384" s="67">
        <v>27061.0</v>
      </c>
      <c r="L1384" s="42"/>
      <c r="M1384" s="42"/>
      <c r="N1384" s="42"/>
      <c r="O1384" s="42"/>
      <c r="P1384" s="42"/>
      <c r="Q1384" s="42"/>
      <c r="R1384" s="42"/>
      <c r="S1384" s="42"/>
      <c r="T1384" s="42"/>
      <c r="U1384" s="42"/>
      <c r="V1384" s="42"/>
      <c r="W1384" s="42"/>
      <c r="X1384" s="42"/>
      <c r="Y1384" s="42"/>
      <c r="Z1384" s="42"/>
    </row>
    <row r="1385" ht="142.5" customHeight="1">
      <c r="A1385" s="57" t="s">
        <v>3590</v>
      </c>
      <c r="B1385" s="57" t="s">
        <v>227</v>
      </c>
      <c r="C1385" s="57" t="s">
        <v>3915</v>
      </c>
      <c r="D1385" s="57" t="s">
        <v>3916</v>
      </c>
      <c r="E1385" s="57"/>
      <c r="F1385" s="58">
        <v>8400.0</v>
      </c>
      <c r="G1385" s="57" t="s">
        <v>251</v>
      </c>
      <c r="H1385" s="59" t="s">
        <v>594</v>
      </c>
      <c r="I1385" s="59" t="s">
        <v>1110</v>
      </c>
      <c r="J1385" s="61" t="s">
        <v>3914</v>
      </c>
      <c r="K1385" s="67">
        <v>27061.0</v>
      </c>
      <c r="L1385" s="42"/>
      <c r="M1385" s="42"/>
      <c r="N1385" s="42"/>
      <c r="O1385" s="42"/>
      <c r="P1385" s="42"/>
      <c r="Q1385" s="42"/>
      <c r="R1385" s="42"/>
      <c r="S1385" s="42"/>
      <c r="T1385" s="42"/>
      <c r="U1385" s="42"/>
      <c r="V1385" s="42"/>
      <c r="W1385" s="42"/>
      <c r="X1385" s="42"/>
      <c r="Y1385" s="42"/>
      <c r="Z1385" s="42"/>
    </row>
    <row r="1386" ht="142.5" customHeight="1">
      <c r="A1386" s="57" t="s">
        <v>3590</v>
      </c>
      <c r="B1386" s="57" t="s">
        <v>227</v>
      </c>
      <c r="C1386" s="57" t="s">
        <v>3917</v>
      </c>
      <c r="D1386" s="57" t="s">
        <v>3918</v>
      </c>
      <c r="E1386" s="57"/>
      <c r="F1386" s="58">
        <v>9600.0</v>
      </c>
      <c r="G1386" s="57" t="s">
        <v>251</v>
      </c>
      <c r="H1386" s="59" t="s">
        <v>594</v>
      </c>
      <c r="I1386" s="59" t="s">
        <v>1110</v>
      </c>
      <c r="J1386" s="61" t="s">
        <v>3914</v>
      </c>
      <c r="K1386" s="67">
        <v>27061.0</v>
      </c>
      <c r="L1386" s="42"/>
      <c r="M1386" s="42"/>
      <c r="N1386" s="42"/>
      <c r="O1386" s="42"/>
      <c r="P1386" s="42"/>
      <c r="Q1386" s="42"/>
      <c r="R1386" s="42"/>
      <c r="S1386" s="42"/>
      <c r="T1386" s="42"/>
      <c r="U1386" s="42"/>
      <c r="V1386" s="42"/>
      <c r="W1386" s="42"/>
      <c r="X1386" s="42"/>
      <c r="Y1386" s="42"/>
      <c r="Z1386" s="42"/>
    </row>
    <row r="1387" ht="142.5" customHeight="1">
      <c r="A1387" s="57" t="s">
        <v>3590</v>
      </c>
      <c r="B1387" s="57" t="s">
        <v>227</v>
      </c>
      <c r="C1387" s="57" t="s">
        <v>3919</v>
      </c>
      <c r="D1387" s="57" t="s">
        <v>3920</v>
      </c>
      <c r="E1387" s="57"/>
      <c r="F1387" s="58">
        <v>13300.0</v>
      </c>
      <c r="G1387" s="57" t="s">
        <v>251</v>
      </c>
      <c r="H1387" s="59" t="s">
        <v>594</v>
      </c>
      <c r="I1387" s="59" t="s">
        <v>1110</v>
      </c>
      <c r="J1387" s="61" t="s">
        <v>3914</v>
      </c>
      <c r="K1387" s="67">
        <v>27061.0</v>
      </c>
      <c r="L1387" s="42"/>
      <c r="M1387" s="42"/>
      <c r="N1387" s="42"/>
      <c r="O1387" s="42"/>
      <c r="P1387" s="42"/>
      <c r="Q1387" s="42"/>
      <c r="R1387" s="42"/>
      <c r="S1387" s="42"/>
      <c r="T1387" s="42"/>
      <c r="U1387" s="42"/>
      <c r="V1387" s="42"/>
      <c r="W1387" s="42"/>
      <c r="X1387" s="42"/>
      <c r="Y1387" s="42"/>
      <c r="Z1387" s="42"/>
    </row>
    <row r="1388" ht="28.5" customHeight="1">
      <c r="A1388" s="52" t="s">
        <v>3921</v>
      </c>
      <c r="B1388" s="52" t="s">
        <v>231</v>
      </c>
      <c r="C1388" s="52" t="s">
        <v>232</v>
      </c>
      <c r="D1388" s="52" t="s">
        <v>233</v>
      </c>
      <c r="E1388" s="73"/>
      <c r="F1388" s="74"/>
      <c r="G1388" s="73"/>
      <c r="H1388" s="75"/>
      <c r="I1388" s="75"/>
      <c r="J1388" s="76"/>
      <c r="K1388" s="76"/>
      <c r="L1388" s="42"/>
      <c r="M1388" s="42"/>
      <c r="N1388" s="42"/>
      <c r="O1388" s="42"/>
      <c r="P1388" s="42"/>
      <c r="Q1388" s="42"/>
      <c r="R1388" s="42"/>
      <c r="S1388" s="42"/>
      <c r="T1388" s="42"/>
      <c r="U1388" s="42"/>
      <c r="V1388" s="42"/>
      <c r="W1388" s="42"/>
      <c r="X1388" s="42"/>
      <c r="Y1388" s="42"/>
      <c r="Z1388" s="42"/>
    </row>
    <row r="1389" ht="30.75" customHeight="1">
      <c r="A1389" s="57" t="s">
        <v>3921</v>
      </c>
      <c r="B1389" s="57" t="s">
        <v>231</v>
      </c>
      <c r="C1389" s="57" t="s">
        <v>3922</v>
      </c>
      <c r="D1389" s="57" t="s">
        <v>3923</v>
      </c>
      <c r="E1389" s="57"/>
      <c r="F1389" s="58">
        <v>50300.0</v>
      </c>
      <c r="G1389" s="57" t="s">
        <v>251</v>
      </c>
      <c r="H1389" s="59" t="s">
        <v>952</v>
      </c>
      <c r="I1389" s="59" t="s">
        <v>953</v>
      </c>
      <c r="J1389" s="61"/>
      <c r="K1389" s="61"/>
      <c r="L1389" s="42"/>
      <c r="M1389" s="42"/>
      <c r="N1389" s="42"/>
      <c r="O1389" s="42"/>
      <c r="P1389" s="42"/>
      <c r="Q1389" s="42"/>
      <c r="R1389" s="42"/>
      <c r="S1389" s="42"/>
      <c r="T1389" s="42"/>
      <c r="U1389" s="42"/>
      <c r="V1389" s="42"/>
      <c r="W1389" s="42"/>
      <c r="X1389" s="42"/>
      <c r="Y1389" s="42"/>
      <c r="Z1389" s="42"/>
    </row>
    <row r="1390" ht="30.75" customHeight="1">
      <c r="A1390" s="57" t="s">
        <v>3921</v>
      </c>
      <c r="B1390" s="57" t="s">
        <v>231</v>
      </c>
      <c r="C1390" s="57" t="s">
        <v>3924</v>
      </c>
      <c r="D1390" s="57" t="s">
        <v>3925</v>
      </c>
      <c r="E1390" s="57"/>
      <c r="F1390" s="58">
        <v>54900.0</v>
      </c>
      <c r="G1390" s="57" t="s">
        <v>251</v>
      </c>
      <c r="H1390" s="59" t="s">
        <v>952</v>
      </c>
      <c r="I1390" s="59" t="s">
        <v>953</v>
      </c>
      <c r="J1390" s="61"/>
      <c r="K1390" s="61"/>
      <c r="L1390" s="42"/>
      <c r="M1390" s="42"/>
      <c r="N1390" s="42"/>
      <c r="O1390" s="42"/>
      <c r="P1390" s="42"/>
      <c r="Q1390" s="42"/>
      <c r="R1390" s="42"/>
      <c r="S1390" s="42"/>
      <c r="T1390" s="42"/>
      <c r="U1390" s="42"/>
      <c r="V1390" s="42"/>
      <c r="W1390" s="42"/>
      <c r="X1390" s="42"/>
      <c r="Y1390" s="42"/>
      <c r="Z1390" s="42"/>
    </row>
    <row r="1391" ht="30.75" customHeight="1">
      <c r="A1391" s="57" t="s">
        <v>3921</v>
      </c>
      <c r="B1391" s="57" t="s">
        <v>231</v>
      </c>
      <c r="C1391" s="57" t="s">
        <v>3926</v>
      </c>
      <c r="D1391" s="57" t="s">
        <v>3927</v>
      </c>
      <c r="E1391" s="57"/>
      <c r="F1391" s="58">
        <v>13800.0</v>
      </c>
      <c r="G1391" s="57" t="s">
        <v>251</v>
      </c>
      <c r="H1391" s="59" t="s">
        <v>952</v>
      </c>
      <c r="I1391" s="59" t="s">
        <v>953</v>
      </c>
      <c r="J1391" s="61"/>
      <c r="K1391" s="61"/>
      <c r="L1391" s="42"/>
      <c r="M1391" s="42"/>
      <c r="N1391" s="42"/>
      <c r="O1391" s="42"/>
      <c r="P1391" s="42"/>
      <c r="Q1391" s="42"/>
      <c r="R1391" s="42"/>
      <c r="S1391" s="42"/>
      <c r="T1391" s="42"/>
      <c r="U1391" s="42"/>
      <c r="V1391" s="42"/>
      <c r="W1391" s="42"/>
      <c r="X1391" s="42"/>
      <c r="Y1391" s="42"/>
      <c r="Z1391" s="42"/>
    </row>
    <row r="1392" ht="30.75" customHeight="1">
      <c r="A1392" s="57" t="s">
        <v>3921</v>
      </c>
      <c r="B1392" s="57" t="s">
        <v>231</v>
      </c>
      <c r="C1392" s="57" t="s">
        <v>3928</v>
      </c>
      <c r="D1392" s="57" t="s">
        <v>3929</v>
      </c>
      <c r="E1392" s="57"/>
      <c r="F1392" s="58">
        <v>14800.0</v>
      </c>
      <c r="G1392" s="57" t="s">
        <v>251</v>
      </c>
      <c r="H1392" s="59" t="s">
        <v>952</v>
      </c>
      <c r="I1392" s="59" t="s">
        <v>953</v>
      </c>
      <c r="J1392" s="61"/>
      <c r="K1392" s="61"/>
      <c r="L1392" s="42"/>
      <c r="M1392" s="42"/>
      <c r="N1392" s="42"/>
      <c r="O1392" s="42"/>
      <c r="P1392" s="42"/>
      <c r="Q1392" s="42"/>
      <c r="R1392" s="42"/>
      <c r="S1392" s="42"/>
      <c r="T1392" s="42"/>
      <c r="U1392" s="42"/>
      <c r="V1392" s="42"/>
      <c r="W1392" s="42"/>
      <c r="X1392" s="42"/>
      <c r="Y1392" s="42"/>
      <c r="Z1392" s="42"/>
    </row>
    <row r="1393" ht="30.75" customHeight="1">
      <c r="A1393" s="57" t="s">
        <v>3921</v>
      </c>
      <c r="B1393" s="57" t="s">
        <v>231</v>
      </c>
      <c r="C1393" s="57" t="s">
        <v>3930</v>
      </c>
      <c r="D1393" s="57" t="s">
        <v>3931</v>
      </c>
      <c r="E1393" s="57"/>
      <c r="F1393" s="58">
        <v>17000.0</v>
      </c>
      <c r="G1393" s="57" t="s">
        <v>251</v>
      </c>
      <c r="H1393" s="59" t="s">
        <v>952</v>
      </c>
      <c r="I1393" s="59" t="s">
        <v>953</v>
      </c>
      <c r="J1393" s="61"/>
      <c r="K1393" s="61"/>
      <c r="L1393" s="42"/>
      <c r="M1393" s="42"/>
      <c r="N1393" s="42"/>
      <c r="O1393" s="42"/>
      <c r="P1393" s="42"/>
      <c r="Q1393" s="42"/>
      <c r="R1393" s="42"/>
      <c r="S1393" s="42"/>
      <c r="T1393" s="42"/>
      <c r="U1393" s="42"/>
      <c r="V1393" s="42"/>
      <c r="W1393" s="42"/>
      <c r="X1393" s="42"/>
      <c r="Y1393" s="42"/>
      <c r="Z1393" s="42"/>
    </row>
    <row r="1394" ht="30.75" customHeight="1">
      <c r="A1394" s="57" t="s">
        <v>3921</v>
      </c>
      <c r="B1394" s="57" t="s">
        <v>231</v>
      </c>
      <c r="C1394" s="57" t="s">
        <v>3932</v>
      </c>
      <c r="D1394" s="57" t="s">
        <v>3933</v>
      </c>
      <c r="E1394" s="57"/>
      <c r="F1394" s="58">
        <v>19600.0</v>
      </c>
      <c r="G1394" s="57" t="s">
        <v>251</v>
      </c>
      <c r="H1394" s="59" t="s">
        <v>952</v>
      </c>
      <c r="I1394" s="59" t="s">
        <v>953</v>
      </c>
      <c r="J1394" s="61"/>
      <c r="K1394" s="61"/>
      <c r="L1394" s="42"/>
      <c r="M1394" s="42"/>
      <c r="N1394" s="42"/>
      <c r="O1394" s="42"/>
      <c r="P1394" s="42"/>
      <c r="Q1394" s="42"/>
      <c r="R1394" s="42"/>
      <c r="S1394" s="42"/>
      <c r="T1394" s="42"/>
      <c r="U1394" s="42"/>
      <c r="V1394" s="42"/>
      <c r="W1394" s="42"/>
      <c r="X1394" s="42"/>
      <c r="Y1394" s="42"/>
      <c r="Z1394" s="42"/>
    </row>
    <row r="1395" ht="30.75" customHeight="1">
      <c r="A1395" s="57" t="s">
        <v>3921</v>
      </c>
      <c r="B1395" s="57" t="s">
        <v>231</v>
      </c>
      <c r="C1395" s="57" t="s">
        <v>3934</v>
      </c>
      <c r="D1395" s="57" t="s">
        <v>3935</v>
      </c>
      <c r="E1395" s="57"/>
      <c r="F1395" s="58">
        <v>4000000.0</v>
      </c>
      <c r="G1395" s="57" t="s">
        <v>512</v>
      </c>
      <c r="H1395" s="59" t="s">
        <v>952</v>
      </c>
      <c r="I1395" s="59" t="s">
        <v>953</v>
      </c>
      <c r="J1395" s="61"/>
      <c r="K1395" s="61"/>
      <c r="L1395" s="42"/>
      <c r="M1395" s="42"/>
      <c r="N1395" s="42"/>
      <c r="O1395" s="42"/>
      <c r="P1395" s="42"/>
      <c r="Q1395" s="42"/>
      <c r="R1395" s="42"/>
      <c r="S1395" s="42"/>
      <c r="T1395" s="42"/>
      <c r="U1395" s="42"/>
      <c r="V1395" s="42"/>
      <c r="W1395" s="42"/>
      <c r="X1395" s="42"/>
      <c r="Y1395" s="42"/>
      <c r="Z1395" s="42"/>
    </row>
    <row r="1396" ht="30.75" customHeight="1">
      <c r="A1396" s="57" t="s">
        <v>3921</v>
      </c>
      <c r="B1396" s="57" t="s">
        <v>231</v>
      </c>
      <c r="C1396" s="57" t="s">
        <v>3936</v>
      </c>
      <c r="D1396" s="57" t="s">
        <v>3937</v>
      </c>
      <c r="E1396" s="57"/>
      <c r="F1396" s="58">
        <v>4733000.0</v>
      </c>
      <c r="G1396" s="57" t="s">
        <v>512</v>
      </c>
      <c r="H1396" s="59" t="s">
        <v>952</v>
      </c>
      <c r="I1396" s="59" t="s">
        <v>953</v>
      </c>
      <c r="J1396" s="61"/>
      <c r="K1396" s="61"/>
      <c r="L1396" s="42"/>
      <c r="M1396" s="42"/>
      <c r="N1396" s="42"/>
      <c r="O1396" s="42"/>
      <c r="P1396" s="42"/>
      <c r="Q1396" s="42"/>
      <c r="R1396" s="42"/>
      <c r="S1396" s="42"/>
      <c r="T1396" s="42"/>
      <c r="U1396" s="42"/>
      <c r="V1396" s="42"/>
      <c r="W1396" s="42"/>
      <c r="X1396" s="42"/>
      <c r="Y1396" s="42"/>
      <c r="Z1396" s="42"/>
    </row>
    <row r="1397" ht="30.75" customHeight="1">
      <c r="A1397" s="57" t="s">
        <v>3921</v>
      </c>
      <c r="B1397" s="57" t="s">
        <v>231</v>
      </c>
      <c r="C1397" s="57" t="s">
        <v>3938</v>
      </c>
      <c r="D1397" s="57" t="s">
        <v>3939</v>
      </c>
      <c r="E1397" s="57"/>
      <c r="F1397" s="58">
        <v>7200000.0</v>
      </c>
      <c r="G1397" s="57" t="s">
        <v>512</v>
      </c>
      <c r="H1397" s="59" t="s">
        <v>952</v>
      </c>
      <c r="I1397" s="59" t="s">
        <v>953</v>
      </c>
      <c r="J1397" s="61"/>
      <c r="K1397" s="61"/>
      <c r="L1397" s="42"/>
      <c r="M1397" s="42"/>
      <c r="N1397" s="42"/>
      <c r="O1397" s="42"/>
      <c r="P1397" s="42"/>
      <c r="Q1397" s="42"/>
      <c r="R1397" s="42"/>
      <c r="S1397" s="42"/>
      <c r="T1397" s="42"/>
      <c r="U1397" s="42"/>
      <c r="V1397" s="42"/>
      <c r="W1397" s="42"/>
      <c r="X1397" s="42"/>
      <c r="Y1397" s="42"/>
      <c r="Z1397" s="42"/>
    </row>
    <row r="1398" ht="30.75" customHeight="1">
      <c r="A1398" s="57" t="s">
        <v>3921</v>
      </c>
      <c r="B1398" s="57" t="s">
        <v>231</v>
      </c>
      <c r="C1398" s="57" t="s">
        <v>3940</v>
      </c>
      <c r="D1398" s="57" t="s">
        <v>3941</v>
      </c>
      <c r="E1398" s="57"/>
      <c r="F1398" s="58">
        <v>2990000.0</v>
      </c>
      <c r="G1398" s="57" t="s">
        <v>512</v>
      </c>
      <c r="H1398" s="59" t="s">
        <v>952</v>
      </c>
      <c r="I1398" s="59" t="s">
        <v>953</v>
      </c>
      <c r="J1398" s="61"/>
      <c r="K1398" s="61"/>
      <c r="L1398" s="42"/>
      <c r="M1398" s="42"/>
      <c r="N1398" s="42"/>
      <c r="O1398" s="42"/>
      <c r="P1398" s="42"/>
      <c r="Q1398" s="42"/>
      <c r="R1398" s="42"/>
      <c r="S1398" s="42"/>
      <c r="T1398" s="42"/>
      <c r="U1398" s="42"/>
      <c r="V1398" s="42"/>
      <c r="W1398" s="42"/>
      <c r="X1398" s="42"/>
      <c r="Y1398" s="42"/>
      <c r="Z1398" s="42"/>
    </row>
    <row r="1399" ht="30.75" customHeight="1">
      <c r="A1399" s="57" t="s">
        <v>3921</v>
      </c>
      <c r="B1399" s="57" t="s">
        <v>231</v>
      </c>
      <c r="C1399" s="57" t="s">
        <v>3942</v>
      </c>
      <c r="D1399" s="57" t="s">
        <v>3943</v>
      </c>
      <c r="E1399" s="57"/>
      <c r="F1399" s="58">
        <v>3520000.0</v>
      </c>
      <c r="G1399" s="57" t="s">
        <v>512</v>
      </c>
      <c r="H1399" s="59" t="s">
        <v>952</v>
      </c>
      <c r="I1399" s="59" t="s">
        <v>953</v>
      </c>
      <c r="J1399" s="61"/>
      <c r="K1399" s="61"/>
      <c r="L1399" s="42"/>
      <c r="M1399" s="42"/>
      <c r="N1399" s="42"/>
      <c r="O1399" s="42"/>
      <c r="P1399" s="42"/>
      <c r="Q1399" s="42"/>
      <c r="R1399" s="42"/>
      <c r="S1399" s="42"/>
      <c r="T1399" s="42"/>
      <c r="U1399" s="42"/>
      <c r="V1399" s="42"/>
      <c r="W1399" s="42"/>
      <c r="X1399" s="42"/>
      <c r="Y1399" s="42"/>
      <c r="Z1399" s="42"/>
    </row>
    <row r="1400" ht="30.75" customHeight="1">
      <c r="A1400" s="57" t="s">
        <v>3921</v>
      </c>
      <c r="B1400" s="57" t="s">
        <v>231</v>
      </c>
      <c r="C1400" s="57" t="s">
        <v>3944</v>
      </c>
      <c r="D1400" s="57" t="s">
        <v>3945</v>
      </c>
      <c r="E1400" s="57"/>
      <c r="F1400" s="58">
        <v>4067000.0</v>
      </c>
      <c r="G1400" s="57" t="s">
        <v>512</v>
      </c>
      <c r="H1400" s="59" t="s">
        <v>952</v>
      </c>
      <c r="I1400" s="59" t="s">
        <v>953</v>
      </c>
      <c r="J1400" s="61"/>
      <c r="K1400" s="61"/>
      <c r="L1400" s="42"/>
      <c r="M1400" s="42"/>
      <c r="N1400" s="42"/>
      <c r="O1400" s="42"/>
      <c r="P1400" s="42"/>
      <c r="Q1400" s="42"/>
      <c r="R1400" s="42"/>
      <c r="S1400" s="42"/>
      <c r="T1400" s="42"/>
      <c r="U1400" s="42"/>
      <c r="V1400" s="42"/>
      <c r="W1400" s="42"/>
      <c r="X1400" s="42"/>
      <c r="Y1400" s="42"/>
      <c r="Z1400" s="42"/>
    </row>
    <row r="1401" ht="30.75" customHeight="1">
      <c r="A1401" s="57" t="s">
        <v>3921</v>
      </c>
      <c r="B1401" s="57" t="s">
        <v>231</v>
      </c>
      <c r="C1401" s="57" t="s">
        <v>3946</v>
      </c>
      <c r="D1401" s="57" t="s">
        <v>3947</v>
      </c>
      <c r="E1401" s="57"/>
      <c r="F1401" s="58">
        <v>4740000.0</v>
      </c>
      <c r="G1401" s="57" t="s">
        <v>512</v>
      </c>
      <c r="H1401" s="59" t="s">
        <v>952</v>
      </c>
      <c r="I1401" s="59" t="s">
        <v>953</v>
      </c>
      <c r="J1401" s="61"/>
      <c r="K1401" s="61"/>
      <c r="L1401" s="42"/>
      <c r="M1401" s="42"/>
      <c r="N1401" s="42"/>
      <c r="O1401" s="42"/>
      <c r="P1401" s="42"/>
      <c r="Q1401" s="42"/>
      <c r="R1401" s="42"/>
      <c r="S1401" s="42"/>
      <c r="T1401" s="42"/>
      <c r="U1401" s="42"/>
      <c r="V1401" s="42"/>
      <c r="W1401" s="42"/>
      <c r="X1401" s="42"/>
      <c r="Y1401" s="42"/>
      <c r="Z1401" s="42"/>
    </row>
    <row r="1402" ht="30.75" customHeight="1">
      <c r="A1402" s="57" t="s">
        <v>3921</v>
      </c>
      <c r="B1402" s="57" t="s">
        <v>231</v>
      </c>
      <c r="C1402" s="57" t="s">
        <v>3948</v>
      </c>
      <c r="D1402" s="57" t="s">
        <v>3949</v>
      </c>
      <c r="E1402" s="57"/>
      <c r="F1402" s="58">
        <v>7375000.0</v>
      </c>
      <c r="G1402" s="57" t="s">
        <v>512</v>
      </c>
      <c r="H1402" s="59" t="s">
        <v>952</v>
      </c>
      <c r="I1402" s="59" t="s">
        <v>953</v>
      </c>
      <c r="J1402" s="61"/>
      <c r="K1402" s="61"/>
      <c r="L1402" s="42"/>
      <c r="M1402" s="42"/>
      <c r="N1402" s="42"/>
      <c r="O1402" s="42"/>
      <c r="P1402" s="42"/>
      <c r="Q1402" s="42"/>
      <c r="R1402" s="42"/>
      <c r="S1402" s="42"/>
      <c r="T1402" s="42"/>
      <c r="U1402" s="42"/>
      <c r="V1402" s="42"/>
      <c r="W1402" s="42"/>
      <c r="X1402" s="42"/>
      <c r="Y1402" s="42"/>
      <c r="Z1402" s="42"/>
    </row>
    <row r="1403" ht="30.75" customHeight="1">
      <c r="A1403" s="57" t="s">
        <v>3921</v>
      </c>
      <c r="B1403" s="57" t="s">
        <v>231</v>
      </c>
      <c r="C1403" s="57" t="s">
        <v>3950</v>
      </c>
      <c r="D1403" s="57" t="s">
        <v>3951</v>
      </c>
      <c r="E1403" s="57"/>
      <c r="F1403" s="58">
        <v>3230000.0</v>
      </c>
      <c r="G1403" s="57" t="s">
        <v>512</v>
      </c>
      <c r="H1403" s="59" t="s">
        <v>952</v>
      </c>
      <c r="I1403" s="59" t="s">
        <v>953</v>
      </c>
      <c r="J1403" s="61"/>
      <c r="K1403" s="61"/>
      <c r="L1403" s="42"/>
      <c r="M1403" s="42"/>
      <c r="N1403" s="42"/>
      <c r="O1403" s="42"/>
      <c r="P1403" s="42"/>
      <c r="Q1403" s="42"/>
      <c r="R1403" s="42"/>
      <c r="S1403" s="42"/>
      <c r="T1403" s="42"/>
      <c r="U1403" s="42"/>
      <c r="V1403" s="42"/>
      <c r="W1403" s="42"/>
      <c r="X1403" s="42"/>
      <c r="Y1403" s="42"/>
      <c r="Z1403" s="42"/>
    </row>
    <row r="1404" ht="30.75" customHeight="1">
      <c r="A1404" s="57" t="s">
        <v>3921</v>
      </c>
      <c r="B1404" s="57" t="s">
        <v>231</v>
      </c>
      <c r="C1404" s="57" t="s">
        <v>3952</v>
      </c>
      <c r="D1404" s="57" t="s">
        <v>3953</v>
      </c>
      <c r="E1404" s="57"/>
      <c r="F1404" s="58">
        <v>66000.0</v>
      </c>
      <c r="G1404" s="57" t="s">
        <v>251</v>
      </c>
      <c r="H1404" s="59" t="s">
        <v>952</v>
      </c>
      <c r="I1404" s="59" t="s">
        <v>953</v>
      </c>
      <c r="J1404" s="61"/>
      <c r="K1404" s="61"/>
      <c r="L1404" s="42"/>
      <c r="M1404" s="42"/>
      <c r="N1404" s="42"/>
      <c r="O1404" s="42"/>
      <c r="P1404" s="42"/>
      <c r="Q1404" s="42"/>
      <c r="R1404" s="42"/>
      <c r="S1404" s="42"/>
      <c r="T1404" s="42"/>
      <c r="U1404" s="42"/>
      <c r="V1404" s="42"/>
      <c r="W1404" s="42"/>
      <c r="X1404" s="42"/>
      <c r="Y1404" s="42"/>
      <c r="Z1404" s="42"/>
    </row>
    <row r="1405" ht="30.75" customHeight="1">
      <c r="A1405" s="57" t="s">
        <v>3921</v>
      </c>
      <c r="B1405" s="57" t="s">
        <v>231</v>
      </c>
      <c r="C1405" s="57" t="s">
        <v>3954</v>
      </c>
      <c r="D1405" s="57" t="s">
        <v>3955</v>
      </c>
      <c r="E1405" s="57"/>
      <c r="F1405" s="58">
        <v>945000.0</v>
      </c>
      <c r="G1405" s="57" t="s">
        <v>251</v>
      </c>
      <c r="H1405" s="59" t="s">
        <v>594</v>
      </c>
      <c r="I1405" s="59" t="s">
        <v>3956</v>
      </c>
      <c r="J1405" s="61" t="s">
        <v>3957</v>
      </c>
      <c r="K1405" s="67">
        <v>25659.0</v>
      </c>
      <c r="L1405" s="42"/>
      <c r="M1405" s="42"/>
      <c r="N1405" s="42"/>
      <c r="O1405" s="42"/>
      <c r="P1405" s="42"/>
      <c r="Q1405" s="42"/>
      <c r="R1405" s="42"/>
      <c r="S1405" s="42"/>
      <c r="T1405" s="42"/>
      <c r="U1405" s="42"/>
      <c r="V1405" s="42"/>
      <c r="W1405" s="42"/>
      <c r="X1405" s="42"/>
      <c r="Y1405" s="42"/>
      <c r="Z1405" s="42"/>
    </row>
    <row r="1406" ht="85.5" customHeight="1">
      <c r="A1406" s="57" t="s">
        <v>3921</v>
      </c>
      <c r="B1406" s="57" t="s">
        <v>231</v>
      </c>
      <c r="C1406" s="57" t="s">
        <v>3958</v>
      </c>
      <c r="D1406" s="57" t="s">
        <v>3959</v>
      </c>
      <c r="E1406" s="57"/>
      <c r="F1406" s="58">
        <v>2600000.0</v>
      </c>
      <c r="G1406" s="57" t="s">
        <v>1571</v>
      </c>
      <c r="H1406" s="59" t="s">
        <v>594</v>
      </c>
      <c r="I1406" s="59" t="s">
        <v>2993</v>
      </c>
      <c r="J1406" s="61" t="s">
        <v>3960</v>
      </c>
      <c r="K1406" s="67">
        <v>26420.0</v>
      </c>
      <c r="L1406" s="42"/>
      <c r="M1406" s="42"/>
      <c r="N1406" s="42"/>
      <c r="O1406" s="42"/>
      <c r="P1406" s="42"/>
      <c r="Q1406" s="42"/>
      <c r="R1406" s="42"/>
      <c r="S1406" s="42"/>
      <c r="T1406" s="42"/>
      <c r="U1406" s="42"/>
      <c r="V1406" s="42"/>
      <c r="W1406" s="42"/>
      <c r="X1406" s="42"/>
      <c r="Y1406" s="42"/>
      <c r="Z1406" s="42"/>
    </row>
    <row r="1407" ht="85.5" customHeight="1">
      <c r="A1407" s="57" t="s">
        <v>3921</v>
      </c>
      <c r="B1407" s="57" t="s">
        <v>231</v>
      </c>
      <c r="C1407" s="57" t="s">
        <v>3961</v>
      </c>
      <c r="D1407" s="57" t="s">
        <v>3962</v>
      </c>
      <c r="E1407" s="57"/>
      <c r="F1407" s="58">
        <v>3840000.0</v>
      </c>
      <c r="G1407" s="57" t="s">
        <v>1571</v>
      </c>
      <c r="H1407" s="59" t="s">
        <v>594</v>
      </c>
      <c r="I1407" s="59" t="s">
        <v>2993</v>
      </c>
      <c r="J1407" s="61" t="s">
        <v>3960</v>
      </c>
      <c r="K1407" s="67">
        <v>26420.0</v>
      </c>
      <c r="L1407" s="42"/>
      <c r="M1407" s="42"/>
      <c r="N1407" s="42"/>
      <c r="O1407" s="42"/>
      <c r="P1407" s="42"/>
      <c r="Q1407" s="42"/>
      <c r="R1407" s="42"/>
      <c r="S1407" s="42"/>
      <c r="T1407" s="42"/>
      <c r="U1407" s="42"/>
      <c r="V1407" s="42"/>
      <c r="W1407" s="42"/>
      <c r="X1407" s="42"/>
      <c r="Y1407" s="42"/>
      <c r="Z1407" s="42"/>
    </row>
    <row r="1408" ht="85.5" customHeight="1">
      <c r="A1408" s="57" t="s">
        <v>3921</v>
      </c>
      <c r="B1408" s="57" t="s">
        <v>231</v>
      </c>
      <c r="C1408" s="57" t="s">
        <v>3963</v>
      </c>
      <c r="D1408" s="57" t="s">
        <v>3964</v>
      </c>
      <c r="E1408" s="57"/>
      <c r="F1408" s="58">
        <v>4720000.0</v>
      </c>
      <c r="G1408" s="57" t="s">
        <v>1571</v>
      </c>
      <c r="H1408" s="59" t="s">
        <v>594</v>
      </c>
      <c r="I1408" s="59" t="s">
        <v>2993</v>
      </c>
      <c r="J1408" s="61" t="s">
        <v>3960</v>
      </c>
      <c r="K1408" s="67">
        <v>26420.0</v>
      </c>
      <c r="L1408" s="42"/>
      <c r="M1408" s="42"/>
      <c r="N1408" s="42"/>
      <c r="O1408" s="42"/>
      <c r="P1408" s="42"/>
      <c r="Q1408" s="42"/>
      <c r="R1408" s="42"/>
      <c r="S1408" s="42"/>
      <c r="T1408" s="42"/>
      <c r="U1408" s="42"/>
      <c r="V1408" s="42"/>
      <c r="W1408" s="42"/>
      <c r="X1408" s="42"/>
      <c r="Y1408" s="42"/>
      <c r="Z1408" s="42"/>
    </row>
    <row r="1409" ht="85.5" customHeight="1">
      <c r="A1409" s="57" t="s">
        <v>3921</v>
      </c>
      <c r="B1409" s="57" t="s">
        <v>231</v>
      </c>
      <c r="C1409" s="57" t="s">
        <v>3965</v>
      </c>
      <c r="D1409" s="57" t="s">
        <v>3966</v>
      </c>
      <c r="E1409" s="57"/>
      <c r="F1409" s="58">
        <v>1.15E7</v>
      </c>
      <c r="G1409" s="57" t="s">
        <v>1571</v>
      </c>
      <c r="H1409" s="59" t="s">
        <v>594</v>
      </c>
      <c r="I1409" s="59" t="s">
        <v>2993</v>
      </c>
      <c r="J1409" s="61" t="s">
        <v>3960</v>
      </c>
      <c r="K1409" s="67">
        <v>26420.0</v>
      </c>
      <c r="L1409" s="42"/>
      <c r="M1409" s="42"/>
      <c r="N1409" s="42"/>
      <c r="O1409" s="42"/>
      <c r="P1409" s="42"/>
      <c r="Q1409" s="42"/>
      <c r="R1409" s="42"/>
      <c r="S1409" s="42"/>
      <c r="T1409" s="42"/>
      <c r="U1409" s="42"/>
      <c r="V1409" s="42"/>
      <c r="W1409" s="42"/>
      <c r="X1409" s="42"/>
      <c r="Y1409" s="42"/>
      <c r="Z1409" s="42"/>
    </row>
    <row r="1410" ht="85.5" customHeight="1">
      <c r="A1410" s="57" t="s">
        <v>3921</v>
      </c>
      <c r="B1410" s="57" t="s">
        <v>231</v>
      </c>
      <c r="C1410" s="57" t="s">
        <v>3967</v>
      </c>
      <c r="D1410" s="57" t="s">
        <v>3968</v>
      </c>
      <c r="E1410" s="57"/>
      <c r="F1410" s="58">
        <v>1.85E7</v>
      </c>
      <c r="G1410" s="57" t="s">
        <v>1571</v>
      </c>
      <c r="H1410" s="59" t="s">
        <v>594</v>
      </c>
      <c r="I1410" s="59" t="s">
        <v>2993</v>
      </c>
      <c r="J1410" s="61" t="s">
        <v>3960</v>
      </c>
      <c r="K1410" s="67">
        <v>26420.0</v>
      </c>
      <c r="L1410" s="42"/>
      <c r="M1410" s="42"/>
      <c r="N1410" s="42"/>
      <c r="O1410" s="42"/>
      <c r="P1410" s="42"/>
      <c r="Q1410" s="42"/>
      <c r="R1410" s="42"/>
      <c r="S1410" s="42"/>
      <c r="T1410" s="42"/>
      <c r="U1410" s="42"/>
      <c r="V1410" s="42"/>
      <c r="W1410" s="42"/>
      <c r="X1410" s="42"/>
      <c r="Y1410" s="42"/>
      <c r="Z1410" s="42"/>
    </row>
    <row r="1411" ht="85.5" customHeight="1">
      <c r="A1411" s="57" t="s">
        <v>3921</v>
      </c>
      <c r="B1411" s="57" t="s">
        <v>231</v>
      </c>
      <c r="C1411" s="57" t="s">
        <v>3969</v>
      </c>
      <c r="D1411" s="57" t="s">
        <v>3970</v>
      </c>
      <c r="E1411" s="57"/>
      <c r="F1411" s="58">
        <v>3.1E7</v>
      </c>
      <c r="G1411" s="57" t="s">
        <v>1571</v>
      </c>
      <c r="H1411" s="59" t="s">
        <v>594</v>
      </c>
      <c r="I1411" s="59" t="s">
        <v>2993</v>
      </c>
      <c r="J1411" s="61" t="s">
        <v>3960</v>
      </c>
      <c r="K1411" s="67">
        <v>26420.0</v>
      </c>
      <c r="L1411" s="42"/>
      <c r="M1411" s="42"/>
      <c r="N1411" s="42"/>
      <c r="O1411" s="42"/>
      <c r="P1411" s="42"/>
      <c r="Q1411" s="42"/>
      <c r="R1411" s="42"/>
      <c r="S1411" s="42"/>
      <c r="T1411" s="42"/>
      <c r="U1411" s="42"/>
      <c r="V1411" s="42"/>
      <c r="W1411" s="42"/>
      <c r="X1411" s="42"/>
      <c r="Y1411" s="42"/>
      <c r="Z1411" s="42"/>
    </row>
    <row r="1412" ht="114.0" customHeight="1">
      <c r="A1412" s="57" t="s">
        <v>3921</v>
      </c>
      <c r="B1412" s="57" t="s">
        <v>231</v>
      </c>
      <c r="C1412" s="57" t="s">
        <v>3971</v>
      </c>
      <c r="D1412" s="57" t="s">
        <v>3972</v>
      </c>
      <c r="E1412" s="57"/>
      <c r="F1412" s="58">
        <v>550000.0</v>
      </c>
      <c r="G1412" s="57" t="s">
        <v>2794</v>
      </c>
      <c r="H1412" s="59" t="s">
        <v>594</v>
      </c>
      <c r="I1412" s="59" t="s">
        <v>3973</v>
      </c>
      <c r="J1412" s="61" t="s">
        <v>3974</v>
      </c>
      <c r="K1412" s="67">
        <v>26146.0</v>
      </c>
      <c r="L1412" s="42"/>
      <c r="M1412" s="42"/>
      <c r="N1412" s="42"/>
      <c r="O1412" s="42"/>
      <c r="P1412" s="42"/>
      <c r="Q1412" s="42"/>
      <c r="R1412" s="42"/>
      <c r="S1412" s="42"/>
      <c r="T1412" s="42"/>
      <c r="U1412" s="42"/>
      <c r="V1412" s="42"/>
      <c r="W1412" s="42"/>
      <c r="X1412" s="42"/>
      <c r="Y1412" s="42"/>
      <c r="Z1412" s="42"/>
    </row>
    <row r="1413" ht="114.0" customHeight="1">
      <c r="A1413" s="57" t="s">
        <v>3921</v>
      </c>
      <c r="B1413" s="57" t="s">
        <v>231</v>
      </c>
      <c r="C1413" s="57" t="s">
        <v>3975</v>
      </c>
      <c r="D1413" s="57" t="s">
        <v>3976</v>
      </c>
      <c r="E1413" s="57"/>
      <c r="F1413" s="58">
        <v>880000.0</v>
      </c>
      <c r="G1413" s="57" t="s">
        <v>2794</v>
      </c>
      <c r="H1413" s="59" t="s">
        <v>594</v>
      </c>
      <c r="I1413" s="59" t="s">
        <v>3973</v>
      </c>
      <c r="J1413" s="61" t="s">
        <v>3974</v>
      </c>
      <c r="K1413" s="67">
        <v>26146.0</v>
      </c>
      <c r="L1413" s="42"/>
      <c r="M1413" s="42"/>
      <c r="N1413" s="42"/>
      <c r="O1413" s="42"/>
      <c r="P1413" s="42"/>
      <c r="Q1413" s="42"/>
      <c r="R1413" s="42"/>
      <c r="S1413" s="42"/>
      <c r="T1413" s="42"/>
      <c r="U1413" s="42"/>
      <c r="V1413" s="42"/>
      <c r="W1413" s="42"/>
      <c r="X1413" s="42"/>
      <c r="Y1413" s="42"/>
      <c r="Z1413" s="42"/>
    </row>
    <row r="1414" ht="114.0" customHeight="1">
      <c r="A1414" s="57" t="s">
        <v>3921</v>
      </c>
      <c r="B1414" s="57" t="s">
        <v>231</v>
      </c>
      <c r="C1414" s="57" t="s">
        <v>3977</v>
      </c>
      <c r="D1414" s="57" t="s">
        <v>3978</v>
      </c>
      <c r="E1414" s="57"/>
      <c r="F1414" s="58">
        <v>1240000.0</v>
      </c>
      <c r="G1414" s="57" t="s">
        <v>2794</v>
      </c>
      <c r="H1414" s="59" t="s">
        <v>594</v>
      </c>
      <c r="I1414" s="59" t="s">
        <v>3973</v>
      </c>
      <c r="J1414" s="61" t="s">
        <v>3974</v>
      </c>
      <c r="K1414" s="67">
        <v>26146.0</v>
      </c>
      <c r="L1414" s="42"/>
      <c r="M1414" s="42"/>
      <c r="N1414" s="42"/>
      <c r="O1414" s="42"/>
      <c r="P1414" s="42"/>
      <c r="Q1414" s="42"/>
      <c r="R1414" s="42"/>
      <c r="S1414" s="42"/>
      <c r="T1414" s="42"/>
      <c r="U1414" s="42"/>
      <c r="V1414" s="42"/>
      <c r="W1414" s="42"/>
      <c r="X1414" s="42"/>
      <c r="Y1414" s="42"/>
      <c r="Z1414" s="42"/>
    </row>
    <row r="1415" ht="114.0" customHeight="1">
      <c r="A1415" s="57" t="s">
        <v>3921</v>
      </c>
      <c r="B1415" s="57" t="s">
        <v>231</v>
      </c>
      <c r="C1415" s="57" t="s">
        <v>3979</v>
      </c>
      <c r="D1415" s="57" t="s">
        <v>3980</v>
      </c>
      <c r="E1415" s="57"/>
      <c r="F1415" s="58">
        <v>1440000.0</v>
      </c>
      <c r="G1415" s="57" t="s">
        <v>2794</v>
      </c>
      <c r="H1415" s="59" t="s">
        <v>594</v>
      </c>
      <c r="I1415" s="59" t="s">
        <v>3973</v>
      </c>
      <c r="J1415" s="61" t="s">
        <v>3974</v>
      </c>
      <c r="K1415" s="67">
        <v>26146.0</v>
      </c>
      <c r="L1415" s="42"/>
      <c r="M1415" s="42"/>
      <c r="N1415" s="42"/>
      <c r="O1415" s="42"/>
      <c r="P1415" s="42"/>
      <c r="Q1415" s="42"/>
      <c r="R1415" s="42"/>
      <c r="S1415" s="42"/>
      <c r="T1415" s="42"/>
      <c r="U1415" s="42"/>
      <c r="V1415" s="42"/>
      <c r="W1415" s="42"/>
      <c r="X1415" s="42"/>
      <c r="Y1415" s="42"/>
      <c r="Z1415" s="42"/>
    </row>
    <row r="1416" ht="114.0" customHeight="1">
      <c r="A1416" s="57" t="s">
        <v>3921</v>
      </c>
      <c r="B1416" s="57" t="s">
        <v>231</v>
      </c>
      <c r="C1416" s="57" t="s">
        <v>3981</v>
      </c>
      <c r="D1416" s="57" t="s">
        <v>3982</v>
      </c>
      <c r="E1416" s="57"/>
      <c r="F1416" s="58">
        <v>1790000.0</v>
      </c>
      <c r="G1416" s="57" t="s">
        <v>2794</v>
      </c>
      <c r="H1416" s="59" t="s">
        <v>594</v>
      </c>
      <c r="I1416" s="59" t="s">
        <v>3973</v>
      </c>
      <c r="J1416" s="61" t="s">
        <v>3974</v>
      </c>
      <c r="K1416" s="67">
        <v>26146.0</v>
      </c>
      <c r="L1416" s="42"/>
      <c r="M1416" s="42"/>
      <c r="N1416" s="42"/>
      <c r="O1416" s="42"/>
      <c r="P1416" s="42"/>
      <c r="Q1416" s="42"/>
      <c r="R1416" s="42"/>
      <c r="S1416" s="42"/>
      <c r="T1416" s="42"/>
      <c r="U1416" s="42"/>
      <c r="V1416" s="42"/>
      <c r="W1416" s="42"/>
      <c r="X1416" s="42"/>
      <c r="Y1416" s="42"/>
      <c r="Z1416" s="42"/>
    </row>
    <row r="1417" ht="142.5" customHeight="1">
      <c r="A1417" s="57" t="s">
        <v>3921</v>
      </c>
      <c r="B1417" s="57" t="s">
        <v>231</v>
      </c>
      <c r="C1417" s="57" t="s">
        <v>3983</v>
      </c>
      <c r="D1417" s="57" t="s">
        <v>3984</v>
      </c>
      <c r="E1417" s="57"/>
      <c r="F1417" s="58">
        <v>45000.0</v>
      </c>
      <c r="G1417" s="57" t="s">
        <v>3985</v>
      </c>
      <c r="H1417" s="59" t="s">
        <v>594</v>
      </c>
      <c r="I1417" s="59" t="s">
        <v>3986</v>
      </c>
      <c r="J1417" s="61" t="s">
        <v>3884</v>
      </c>
      <c r="K1417" s="67">
        <v>26816.0</v>
      </c>
      <c r="L1417" s="42"/>
      <c r="M1417" s="42"/>
      <c r="N1417" s="42"/>
      <c r="O1417" s="42"/>
      <c r="P1417" s="42"/>
      <c r="Q1417" s="42"/>
      <c r="R1417" s="42"/>
      <c r="S1417" s="42"/>
      <c r="T1417" s="42"/>
      <c r="U1417" s="42"/>
      <c r="V1417" s="42"/>
      <c r="W1417" s="42"/>
      <c r="X1417" s="42"/>
      <c r="Y1417" s="42"/>
      <c r="Z1417" s="42"/>
    </row>
    <row r="1418" ht="142.5" customHeight="1">
      <c r="A1418" s="57" t="s">
        <v>3921</v>
      </c>
      <c r="B1418" s="57" t="s">
        <v>231</v>
      </c>
      <c r="C1418" s="57" t="s">
        <v>3987</v>
      </c>
      <c r="D1418" s="57" t="s">
        <v>3988</v>
      </c>
      <c r="E1418" s="57"/>
      <c r="F1418" s="58">
        <v>47500.0</v>
      </c>
      <c r="G1418" s="57" t="s">
        <v>3985</v>
      </c>
      <c r="H1418" s="59" t="s">
        <v>594</v>
      </c>
      <c r="I1418" s="59" t="s">
        <v>3986</v>
      </c>
      <c r="J1418" s="61" t="s">
        <v>3884</v>
      </c>
      <c r="K1418" s="67">
        <v>26816.0</v>
      </c>
      <c r="L1418" s="42"/>
      <c r="M1418" s="42"/>
      <c r="N1418" s="42"/>
      <c r="O1418" s="42"/>
      <c r="P1418" s="42"/>
      <c r="Q1418" s="42"/>
      <c r="R1418" s="42"/>
      <c r="S1418" s="42"/>
      <c r="T1418" s="42"/>
      <c r="U1418" s="42"/>
      <c r="V1418" s="42"/>
      <c r="W1418" s="42"/>
      <c r="X1418" s="42"/>
      <c r="Y1418" s="42"/>
      <c r="Z1418" s="42"/>
    </row>
    <row r="1419" ht="142.5" customHeight="1">
      <c r="A1419" s="57" t="s">
        <v>3921</v>
      </c>
      <c r="B1419" s="57" t="s">
        <v>231</v>
      </c>
      <c r="C1419" s="57" t="s">
        <v>3989</v>
      </c>
      <c r="D1419" s="57" t="s">
        <v>3990</v>
      </c>
      <c r="E1419" s="57"/>
      <c r="F1419" s="58">
        <v>50000.0</v>
      </c>
      <c r="G1419" s="57" t="s">
        <v>3985</v>
      </c>
      <c r="H1419" s="59" t="s">
        <v>594</v>
      </c>
      <c r="I1419" s="59" t="s">
        <v>3986</v>
      </c>
      <c r="J1419" s="61" t="s">
        <v>3884</v>
      </c>
      <c r="K1419" s="67">
        <v>26816.0</v>
      </c>
      <c r="L1419" s="42"/>
      <c r="M1419" s="42"/>
      <c r="N1419" s="42"/>
      <c r="O1419" s="42"/>
      <c r="P1419" s="42"/>
      <c r="Q1419" s="42"/>
      <c r="R1419" s="42"/>
      <c r="S1419" s="42"/>
      <c r="T1419" s="42"/>
      <c r="U1419" s="42"/>
      <c r="V1419" s="42"/>
      <c r="W1419" s="42"/>
      <c r="X1419" s="42"/>
      <c r="Y1419" s="42"/>
      <c r="Z1419" s="42"/>
    </row>
    <row r="1420" ht="171.0" customHeight="1">
      <c r="A1420" s="57" t="s">
        <v>3921</v>
      </c>
      <c r="B1420" s="57" t="s">
        <v>231</v>
      </c>
      <c r="C1420" s="57" t="s">
        <v>3991</v>
      </c>
      <c r="D1420" s="57" t="s">
        <v>3992</v>
      </c>
      <c r="E1420" s="57"/>
      <c r="F1420" s="58">
        <v>150000.0</v>
      </c>
      <c r="G1420" s="57" t="s">
        <v>251</v>
      </c>
      <c r="H1420" s="59" t="s">
        <v>594</v>
      </c>
      <c r="I1420" s="59" t="s">
        <v>3514</v>
      </c>
      <c r="J1420" s="57" t="s">
        <v>3993</v>
      </c>
      <c r="K1420" s="67">
        <v>26908.0</v>
      </c>
      <c r="L1420" s="42"/>
      <c r="M1420" s="42"/>
      <c r="N1420" s="42"/>
      <c r="O1420" s="42"/>
      <c r="P1420" s="42"/>
      <c r="Q1420" s="42"/>
      <c r="R1420" s="42"/>
      <c r="S1420" s="42"/>
      <c r="T1420" s="42"/>
      <c r="U1420" s="42"/>
      <c r="V1420" s="42"/>
      <c r="W1420" s="42"/>
      <c r="X1420" s="42"/>
      <c r="Y1420" s="42"/>
      <c r="Z1420" s="42"/>
    </row>
    <row r="1421" ht="28.5" customHeight="1">
      <c r="A1421" s="52" t="s">
        <v>3994</v>
      </c>
      <c r="B1421" s="52" t="s">
        <v>235</v>
      </c>
      <c r="C1421" s="52" t="s">
        <v>236</v>
      </c>
      <c r="D1421" s="52" t="s">
        <v>237</v>
      </c>
      <c r="E1421" s="73"/>
      <c r="F1421" s="74"/>
      <c r="G1421" s="73"/>
      <c r="H1421" s="73"/>
      <c r="I1421" s="75"/>
      <c r="J1421" s="76"/>
      <c r="K1421" s="76"/>
      <c r="L1421" s="42"/>
      <c r="M1421" s="42"/>
      <c r="N1421" s="42"/>
      <c r="O1421" s="42"/>
      <c r="P1421" s="42"/>
      <c r="Q1421" s="42"/>
      <c r="R1421" s="42"/>
      <c r="S1421" s="42"/>
      <c r="T1421" s="42"/>
      <c r="U1421" s="42"/>
      <c r="V1421" s="42"/>
      <c r="W1421" s="42"/>
      <c r="X1421" s="42"/>
      <c r="Y1421" s="42"/>
      <c r="Z1421" s="42"/>
    </row>
    <row r="1422" ht="30.75" customHeight="1">
      <c r="A1422" s="57" t="s">
        <v>3994</v>
      </c>
      <c r="B1422" s="57" t="s">
        <v>235</v>
      </c>
      <c r="C1422" s="57" t="s">
        <v>3995</v>
      </c>
      <c r="D1422" s="57" t="s">
        <v>3996</v>
      </c>
      <c r="E1422" s="57"/>
      <c r="F1422" s="58">
        <v>20100.0</v>
      </c>
      <c r="G1422" s="57" t="s">
        <v>467</v>
      </c>
      <c r="H1422" s="59" t="s">
        <v>952</v>
      </c>
      <c r="I1422" s="59" t="s">
        <v>953</v>
      </c>
      <c r="J1422" s="61"/>
      <c r="K1422" s="61"/>
      <c r="L1422" s="42"/>
      <c r="M1422" s="42"/>
      <c r="N1422" s="42"/>
      <c r="O1422" s="42"/>
      <c r="P1422" s="42"/>
      <c r="Q1422" s="42"/>
      <c r="R1422" s="42"/>
      <c r="S1422" s="42"/>
      <c r="T1422" s="42"/>
      <c r="U1422" s="42"/>
      <c r="V1422" s="42"/>
      <c r="W1422" s="42"/>
      <c r="X1422" s="42"/>
      <c r="Y1422" s="42"/>
      <c r="Z1422" s="42"/>
    </row>
    <row r="1423" ht="28.5" customHeight="1">
      <c r="A1423" s="57" t="s">
        <v>3994</v>
      </c>
      <c r="B1423" s="57" t="s">
        <v>235</v>
      </c>
      <c r="C1423" s="57" t="s">
        <v>3997</v>
      </c>
      <c r="D1423" s="57" t="s">
        <v>3998</v>
      </c>
      <c r="E1423" s="57"/>
      <c r="F1423" s="58">
        <v>30500.0</v>
      </c>
      <c r="G1423" s="57" t="s">
        <v>467</v>
      </c>
      <c r="H1423" s="59" t="s">
        <v>952</v>
      </c>
      <c r="I1423" s="59" t="s">
        <v>953</v>
      </c>
      <c r="J1423" s="61"/>
      <c r="K1423" s="61"/>
      <c r="L1423" s="42"/>
      <c r="M1423" s="42"/>
      <c r="N1423" s="42"/>
      <c r="O1423" s="42"/>
      <c r="P1423" s="42"/>
      <c r="Q1423" s="42"/>
      <c r="R1423" s="42"/>
      <c r="S1423" s="42"/>
      <c r="T1423" s="42"/>
      <c r="U1423" s="42"/>
      <c r="V1423" s="42"/>
      <c r="W1423" s="42"/>
      <c r="X1423" s="42"/>
      <c r="Y1423" s="42"/>
      <c r="Z1423" s="42"/>
    </row>
    <row r="1424" ht="57.0" customHeight="1">
      <c r="A1424" s="57" t="s">
        <v>3994</v>
      </c>
      <c r="B1424" s="57" t="s">
        <v>235</v>
      </c>
      <c r="C1424" s="57" t="s">
        <v>3999</v>
      </c>
      <c r="D1424" s="57" t="s">
        <v>4000</v>
      </c>
      <c r="E1424" s="57"/>
      <c r="F1424" s="58">
        <v>110000.0</v>
      </c>
      <c r="G1424" s="57" t="s">
        <v>467</v>
      </c>
      <c r="H1424" s="59" t="s">
        <v>952</v>
      </c>
      <c r="I1424" s="59" t="s">
        <v>953</v>
      </c>
      <c r="J1424" s="61"/>
      <c r="K1424" s="61"/>
      <c r="L1424" s="42"/>
      <c r="M1424" s="42"/>
      <c r="N1424" s="42"/>
      <c r="O1424" s="42"/>
      <c r="P1424" s="42"/>
      <c r="Q1424" s="42"/>
      <c r="R1424" s="42"/>
      <c r="S1424" s="42"/>
      <c r="T1424" s="42"/>
      <c r="U1424" s="42"/>
      <c r="V1424" s="42"/>
      <c r="W1424" s="42"/>
      <c r="X1424" s="42"/>
      <c r="Y1424" s="42"/>
      <c r="Z1424" s="42"/>
    </row>
    <row r="1425" ht="57.0" customHeight="1">
      <c r="A1425" s="57" t="s">
        <v>3994</v>
      </c>
      <c r="B1425" s="57" t="s">
        <v>235</v>
      </c>
      <c r="C1425" s="57" t="s">
        <v>4001</v>
      </c>
      <c r="D1425" s="57" t="s">
        <v>4002</v>
      </c>
      <c r="E1425" s="57"/>
      <c r="F1425" s="58">
        <v>102000.0</v>
      </c>
      <c r="G1425" s="57" t="s">
        <v>467</v>
      </c>
      <c r="H1425" s="59" t="s">
        <v>952</v>
      </c>
      <c r="I1425" s="59" t="s">
        <v>953</v>
      </c>
      <c r="J1425" s="61"/>
      <c r="K1425" s="61"/>
      <c r="L1425" s="42"/>
      <c r="M1425" s="42"/>
      <c r="N1425" s="42"/>
      <c r="O1425" s="42"/>
      <c r="P1425" s="42"/>
      <c r="Q1425" s="42"/>
      <c r="R1425" s="42"/>
      <c r="S1425" s="42"/>
      <c r="T1425" s="42"/>
      <c r="U1425" s="42"/>
      <c r="V1425" s="42"/>
      <c r="W1425" s="42"/>
      <c r="X1425" s="42"/>
      <c r="Y1425" s="42"/>
      <c r="Z1425" s="42"/>
    </row>
    <row r="1426" ht="57.0" customHeight="1">
      <c r="A1426" s="57" t="s">
        <v>3994</v>
      </c>
      <c r="B1426" s="57" t="s">
        <v>235</v>
      </c>
      <c r="C1426" s="57" t="s">
        <v>4003</v>
      </c>
      <c r="D1426" s="57" t="s">
        <v>4004</v>
      </c>
      <c r="E1426" s="57"/>
      <c r="F1426" s="58">
        <v>94200.0</v>
      </c>
      <c r="G1426" s="57" t="s">
        <v>467</v>
      </c>
      <c r="H1426" s="59" t="s">
        <v>952</v>
      </c>
      <c r="I1426" s="59" t="s">
        <v>953</v>
      </c>
      <c r="J1426" s="61"/>
      <c r="K1426" s="61"/>
      <c r="L1426" s="42"/>
      <c r="M1426" s="42"/>
      <c r="N1426" s="42"/>
      <c r="O1426" s="42"/>
      <c r="P1426" s="42"/>
      <c r="Q1426" s="42"/>
      <c r="R1426" s="42"/>
      <c r="S1426" s="42"/>
      <c r="T1426" s="42"/>
      <c r="U1426" s="42"/>
      <c r="V1426" s="42"/>
      <c r="W1426" s="42"/>
      <c r="X1426" s="42"/>
      <c r="Y1426" s="42"/>
      <c r="Z1426" s="42"/>
    </row>
    <row r="1427" ht="57.0" customHeight="1">
      <c r="A1427" s="57" t="s">
        <v>3994</v>
      </c>
      <c r="B1427" s="57" t="s">
        <v>235</v>
      </c>
      <c r="C1427" s="57" t="s">
        <v>4005</v>
      </c>
      <c r="D1427" s="57" t="s">
        <v>4006</v>
      </c>
      <c r="E1427" s="57"/>
      <c r="F1427" s="58">
        <v>83400.0</v>
      </c>
      <c r="G1427" s="57" t="s">
        <v>467</v>
      </c>
      <c r="H1427" s="59" t="s">
        <v>952</v>
      </c>
      <c r="I1427" s="59" t="s">
        <v>953</v>
      </c>
      <c r="J1427" s="61"/>
      <c r="K1427" s="61"/>
      <c r="L1427" s="42"/>
      <c r="M1427" s="42"/>
      <c r="N1427" s="42"/>
      <c r="O1427" s="42"/>
      <c r="P1427" s="42"/>
      <c r="Q1427" s="42"/>
      <c r="R1427" s="42"/>
      <c r="S1427" s="42"/>
      <c r="T1427" s="42"/>
      <c r="U1427" s="42"/>
      <c r="V1427" s="42"/>
      <c r="W1427" s="42"/>
      <c r="X1427" s="42"/>
      <c r="Y1427" s="42"/>
      <c r="Z1427" s="42"/>
    </row>
    <row r="1428" ht="28.5" customHeight="1">
      <c r="A1428" s="57" t="s">
        <v>3994</v>
      </c>
      <c r="B1428" s="57" t="s">
        <v>235</v>
      </c>
      <c r="C1428" s="57" t="s">
        <v>4007</v>
      </c>
      <c r="D1428" s="57" t="s">
        <v>4008</v>
      </c>
      <c r="E1428" s="57"/>
      <c r="F1428" s="58">
        <v>25700.0</v>
      </c>
      <c r="G1428" s="57" t="s">
        <v>251</v>
      </c>
      <c r="H1428" s="59" t="s">
        <v>952</v>
      </c>
      <c r="I1428" s="59" t="s">
        <v>953</v>
      </c>
      <c r="J1428" s="61"/>
      <c r="K1428" s="61"/>
      <c r="L1428" s="42"/>
      <c r="M1428" s="42"/>
      <c r="N1428" s="42"/>
      <c r="O1428" s="42"/>
      <c r="P1428" s="42"/>
      <c r="Q1428" s="42"/>
      <c r="R1428" s="42"/>
      <c r="S1428" s="42"/>
      <c r="T1428" s="42"/>
      <c r="U1428" s="42"/>
      <c r="V1428" s="42"/>
      <c r="W1428" s="42"/>
      <c r="X1428" s="42"/>
      <c r="Y1428" s="42"/>
      <c r="Z1428" s="42"/>
    </row>
    <row r="1429" ht="28.5" customHeight="1">
      <c r="A1429" s="57" t="s">
        <v>3994</v>
      </c>
      <c r="B1429" s="57" t="s">
        <v>235</v>
      </c>
      <c r="C1429" s="57" t="s">
        <v>4009</v>
      </c>
      <c r="D1429" s="57" t="s">
        <v>4010</v>
      </c>
      <c r="E1429" s="57"/>
      <c r="F1429" s="58">
        <v>20600.0</v>
      </c>
      <c r="G1429" s="57" t="s">
        <v>251</v>
      </c>
      <c r="H1429" s="59" t="s">
        <v>952</v>
      </c>
      <c r="I1429" s="59" t="s">
        <v>953</v>
      </c>
      <c r="J1429" s="61"/>
      <c r="K1429" s="61"/>
      <c r="L1429" s="42"/>
      <c r="M1429" s="42"/>
      <c r="N1429" s="42"/>
      <c r="O1429" s="42"/>
      <c r="P1429" s="42"/>
      <c r="Q1429" s="42"/>
      <c r="R1429" s="42"/>
      <c r="S1429" s="42"/>
      <c r="T1429" s="42"/>
      <c r="U1429" s="42"/>
      <c r="V1429" s="42"/>
      <c r="W1429" s="42"/>
      <c r="X1429" s="42"/>
      <c r="Y1429" s="42"/>
      <c r="Z1429" s="42"/>
    </row>
    <row r="1430" ht="30.75" customHeight="1">
      <c r="A1430" s="44" t="s">
        <v>4011</v>
      </c>
      <c r="B1430" s="42"/>
      <c r="C1430" s="42"/>
      <c r="D1430" s="42"/>
      <c r="E1430" s="42"/>
      <c r="F1430" s="43"/>
      <c r="G1430" s="42"/>
      <c r="H1430" s="44"/>
      <c r="I1430" s="44"/>
      <c r="J1430" s="42"/>
      <c r="K1430" s="42"/>
      <c r="L1430" s="42"/>
      <c r="M1430" s="42"/>
      <c r="N1430" s="42"/>
      <c r="O1430" s="42"/>
      <c r="P1430" s="42"/>
      <c r="Q1430" s="42"/>
      <c r="R1430" s="42"/>
      <c r="S1430" s="42"/>
      <c r="T1430" s="42"/>
      <c r="U1430" s="42"/>
      <c r="V1430" s="42"/>
      <c r="W1430" s="42"/>
      <c r="X1430" s="42"/>
      <c r="Y1430" s="42"/>
      <c r="Z1430" s="42"/>
    </row>
    <row r="1431" ht="30.75" customHeight="1">
      <c r="A1431" s="42"/>
      <c r="B1431" s="42"/>
      <c r="C1431" s="42"/>
      <c r="D1431" s="42"/>
      <c r="E1431" s="42"/>
      <c r="F1431" s="43"/>
      <c r="G1431" s="42"/>
      <c r="H1431" s="44"/>
      <c r="I1431" s="47"/>
      <c r="J1431" s="42"/>
      <c r="K1431" s="42"/>
      <c r="L1431" s="42"/>
      <c r="M1431" s="42"/>
      <c r="N1431" s="42"/>
      <c r="O1431" s="42"/>
      <c r="P1431" s="42"/>
      <c r="Q1431" s="42"/>
      <c r="R1431" s="42"/>
      <c r="S1431" s="42"/>
      <c r="T1431" s="42"/>
      <c r="U1431" s="42"/>
      <c r="V1431" s="42"/>
      <c r="W1431" s="42"/>
      <c r="X1431" s="42"/>
      <c r="Y1431" s="42"/>
      <c r="Z1431" s="42"/>
    </row>
  </sheetData>
  <autoFilter ref="$A$3:$K$1430"/>
  <printOptions/>
  <pageMargins bottom="0.8267716535433072" footer="0.0" header="0.0" left="0.39" right="0.3937007874015748" top="0.5905511811023623"/>
  <pageSetup fitToHeight="0" paperSize="9" orientation="landscape"/>
  <headerFooter>
    <oddFooter>&amp;C&amp;P&amp;Rบัญชีรายการครุภัณฑ์ สำนักงานปลัดกระทรวงสาธารณสุข ฉบับ พฤษภาคม 2565</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6.0" topLeftCell="A7" activePane="bottomLeft" state="frozen"/>
      <selection activeCell="B8" sqref="B8" pane="bottomLeft"/>
    </sheetView>
  </sheetViews>
  <sheetFormatPr customHeight="1" defaultColWidth="14.43" defaultRowHeight="15.0"/>
  <cols>
    <col customWidth="1" min="1" max="1" width="10.71"/>
    <col customWidth="1" min="4" max="4" width="11.71"/>
    <col customWidth="1" min="5" max="5" width="87.43"/>
    <col customWidth="1" min="6" max="6" width="58.29"/>
    <col customWidth="1" min="8" max="8" width="9.71"/>
    <col customWidth="1" min="9" max="9" width="8.43"/>
    <col customWidth="1" min="11" max="11" width="29.57"/>
    <col customWidth="1" min="12" max="12" width="29.14"/>
  </cols>
  <sheetData>
    <row r="1">
      <c r="A1" s="77"/>
    </row>
    <row r="2">
      <c r="A2" s="78"/>
      <c r="B2" s="79"/>
      <c r="D2" s="80" t="s">
        <v>4012</v>
      </c>
      <c r="E2" s="81"/>
      <c r="F2" s="79"/>
      <c r="G2" s="79"/>
      <c r="H2" s="79"/>
      <c r="I2" s="79"/>
      <c r="J2" s="79"/>
      <c r="K2" s="79"/>
      <c r="L2" s="79"/>
      <c r="M2" s="79"/>
      <c r="N2" s="79"/>
      <c r="O2" s="79"/>
      <c r="T2" s="79"/>
      <c r="U2" s="79"/>
      <c r="V2" s="79"/>
      <c r="W2" s="79"/>
      <c r="X2" s="79"/>
      <c r="Y2" s="79"/>
      <c r="Z2" s="79"/>
      <c r="AA2" s="79"/>
    </row>
    <row r="3">
      <c r="A3" s="77"/>
    </row>
    <row r="4">
      <c r="A4" s="77"/>
    </row>
    <row r="5">
      <c r="A5" s="82"/>
      <c r="B5" s="83"/>
      <c r="C5" s="83"/>
      <c r="D5" s="83"/>
      <c r="E5" s="83"/>
      <c r="F5" s="83"/>
      <c r="G5" s="83"/>
      <c r="H5" s="83"/>
      <c r="I5" s="83"/>
      <c r="J5" s="83"/>
      <c r="K5" s="83"/>
      <c r="L5" s="83"/>
      <c r="M5" s="83"/>
      <c r="N5" s="83"/>
      <c r="O5" s="83"/>
      <c r="P5" s="83"/>
      <c r="Q5" s="83"/>
      <c r="R5" s="83"/>
      <c r="S5" s="83"/>
      <c r="T5" s="83"/>
      <c r="U5" s="83"/>
      <c r="V5" s="83"/>
      <c r="W5" s="83"/>
      <c r="X5" s="83"/>
      <c r="Y5" s="83"/>
      <c r="Z5" s="83"/>
      <c r="AA5" s="83"/>
    </row>
    <row r="6">
      <c r="A6" s="84" t="s">
        <v>4013</v>
      </c>
      <c r="B6" s="48" t="s">
        <v>62</v>
      </c>
      <c r="C6" s="48" t="s">
        <v>63</v>
      </c>
      <c r="D6" s="48" t="s">
        <v>238</v>
      </c>
      <c r="E6" s="48" t="s">
        <v>239</v>
      </c>
      <c r="F6" s="48" t="s">
        <v>240</v>
      </c>
      <c r="G6" s="49" t="s">
        <v>241</v>
      </c>
      <c r="H6" s="48" t="s">
        <v>242</v>
      </c>
      <c r="I6" s="48" t="s">
        <v>243</v>
      </c>
      <c r="J6" s="48" t="s">
        <v>244</v>
      </c>
      <c r="K6" s="48" t="s">
        <v>245</v>
      </c>
      <c r="L6" s="48" t="s">
        <v>246</v>
      </c>
    </row>
    <row r="7">
      <c r="A7" s="77" t="str">
        <f t="array" ref="A7:A1932">IF(B7:B1932="", "", ROW(A1:A1932))</f>
        <v/>
      </c>
      <c r="B7" s="3" t="str">
        <f>IFERROR(__xludf.DUMMYFUNCTION("IF(E2="""","""", IFERROR(QUERY('บัญชีแจ้งหน่วยงาน'!A4:K1429, ""SELECT * WHERE Col4 CONTAINS '""&amp;E2&amp;""' AND Col6 IS NOT NULL"", 0), ""ไม่พบในบัญชี""))"),"")</f>
        <v/>
      </c>
    </row>
    <row r="8">
      <c r="A8" s="77" t="s">
        <v>4014</v>
      </c>
    </row>
    <row r="9">
      <c r="A9" s="77" t="s">
        <v>4014</v>
      </c>
    </row>
    <row r="10">
      <c r="A10" s="77" t="s">
        <v>4014</v>
      </c>
    </row>
    <row r="11">
      <c r="A11" s="77" t="s">
        <v>4014</v>
      </c>
    </row>
    <row r="12">
      <c r="A12" s="77" t="s">
        <v>4014</v>
      </c>
    </row>
    <row r="13">
      <c r="A13" s="77" t="s">
        <v>4014</v>
      </c>
    </row>
    <row r="14">
      <c r="A14" s="77" t="s">
        <v>4014</v>
      </c>
    </row>
    <row r="15">
      <c r="A15" s="77" t="s">
        <v>4014</v>
      </c>
    </row>
    <row r="16">
      <c r="A16" s="77" t="s">
        <v>4014</v>
      </c>
    </row>
    <row r="17">
      <c r="A17" s="77" t="s">
        <v>4014</v>
      </c>
    </row>
    <row r="18">
      <c r="A18" s="77" t="s">
        <v>4014</v>
      </c>
    </row>
    <row r="19">
      <c r="A19" s="77" t="s">
        <v>4014</v>
      </c>
    </row>
    <row r="20">
      <c r="A20" s="77" t="s">
        <v>4014</v>
      </c>
    </row>
    <row r="21">
      <c r="A21" s="77" t="s">
        <v>4014</v>
      </c>
    </row>
    <row r="22">
      <c r="A22" s="77" t="s">
        <v>4014</v>
      </c>
    </row>
    <row r="23">
      <c r="A23" s="77" t="s">
        <v>4014</v>
      </c>
    </row>
    <row r="24">
      <c r="A24" s="77" t="s">
        <v>4014</v>
      </c>
    </row>
    <row r="25">
      <c r="A25" s="77" t="s">
        <v>4014</v>
      </c>
    </row>
    <row r="26">
      <c r="A26" s="77" t="s">
        <v>4014</v>
      </c>
    </row>
    <row r="27">
      <c r="A27" s="77" t="s">
        <v>4014</v>
      </c>
    </row>
    <row r="28">
      <c r="A28" s="77" t="s">
        <v>4014</v>
      </c>
    </row>
    <row r="29">
      <c r="A29" s="77" t="s">
        <v>4014</v>
      </c>
    </row>
    <row r="30">
      <c r="A30" s="77" t="s">
        <v>4014</v>
      </c>
    </row>
    <row r="31">
      <c r="A31" s="77" t="s">
        <v>4014</v>
      </c>
    </row>
    <row r="32">
      <c r="A32" s="77" t="s">
        <v>4014</v>
      </c>
    </row>
    <row r="33">
      <c r="A33" s="77" t="s">
        <v>4014</v>
      </c>
    </row>
    <row r="34">
      <c r="A34" s="77" t="s">
        <v>4014</v>
      </c>
    </row>
    <row r="35">
      <c r="A35" s="77" t="s">
        <v>4014</v>
      </c>
    </row>
    <row r="36">
      <c r="A36" s="77" t="s">
        <v>4014</v>
      </c>
    </row>
    <row r="37">
      <c r="A37" s="77" t="s">
        <v>4014</v>
      </c>
    </row>
    <row r="38">
      <c r="A38" s="77" t="s">
        <v>4014</v>
      </c>
    </row>
    <row r="39">
      <c r="A39" s="77" t="s">
        <v>4014</v>
      </c>
    </row>
    <row r="40">
      <c r="A40" s="77" t="s">
        <v>4014</v>
      </c>
    </row>
    <row r="41">
      <c r="A41" s="77" t="s">
        <v>4014</v>
      </c>
    </row>
    <row r="42">
      <c r="A42" s="77" t="s">
        <v>4014</v>
      </c>
    </row>
    <row r="43">
      <c r="A43" s="77" t="s">
        <v>4014</v>
      </c>
    </row>
    <row r="44">
      <c r="A44" s="77" t="s">
        <v>4014</v>
      </c>
    </row>
    <row r="45">
      <c r="A45" s="77" t="s">
        <v>4014</v>
      </c>
    </row>
    <row r="46">
      <c r="A46" s="77" t="s">
        <v>4014</v>
      </c>
    </row>
    <row r="47">
      <c r="A47" s="77" t="s">
        <v>4014</v>
      </c>
    </row>
    <row r="48">
      <c r="A48" s="77" t="s">
        <v>4014</v>
      </c>
    </row>
    <row r="49">
      <c r="A49" s="77" t="s">
        <v>4014</v>
      </c>
    </row>
    <row r="50">
      <c r="A50" s="77" t="s">
        <v>4014</v>
      </c>
    </row>
    <row r="51">
      <c r="A51" s="77" t="s">
        <v>4014</v>
      </c>
    </row>
    <row r="52">
      <c r="A52" s="77" t="s">
        <v>4014</v>
      </c>
    </row>
    <row r="53">
      <c r="A53" s="77" t="s">
        <v>4014</v>
      </c>
    </row>
    <row r="54">
      <c r="A54" s="77" t="s">
        <v>4014</v>
      </c>
    </row>
    <row r="55">
      <c r="A55" s="77" t="s">
        <v>4014</v>
      </c>
    </row>
    <row r="56">
      <c r="A56" s="77" t="s">
        <v>4014</v>
      </c>
    </row>
    <row r="57">
      <c r="A57" s="77" t="s">
        <v>4014</v>
      </c>
    </row>
    <row r="58">
      <c r="A58" s="77" t="s">
        <v>4014</v>
      </c>
    </row>
    <row r="59">
      <c r="A59" s="77" t="s">
        <v>4014</v>
      </c>
    </row>
    <row r="60">
      <c r="A60" s="77" t="s">
        <v>4014</v>
      </c>
    </row>
    <row r="61">
      <c r="A61" s="77" t="s">
        <v>4014</v>
      </c>
    </row>
    <row r="62">
      <c r="A62" s="77" t="s">
        <v>4014</v>
      </c>
    </row>
    <row r="63">
      <c r="A63" s="77" t="s">
        <v>4014</v>
      </c>
    </row>
    <row r="64">
      <c r="A64" s="77" t="s">
        <v>4014</v>
      </c>
    </row>
    <row r="65">
      <c r="A65" s="77" t="s">
        <v>4014</v>
      </c>
    </row>
    <row r="66">
      <c r="A66" s="77" t="s">
        <v>4014</v>
      </c>
    </row>
    <row r="67">
      <c r="A67" s="77" t="s">
        <v>4014</v>
      </c>
    </row>
    <row r="68">
      <c r="A68" s="77" t="s">
        <v>4014</v>
      </c>
    </row>
    <row r="69">
      <c r="A69" s="77" t="s">
        <v>4014</v>
      </c>
    </row>
    <row r="70">
      <c r="A70" s="77" t="s">
        <v>4014</v>
      </c>
    </row>
    <row r="71">
      <c r="A71" s="77" t="s">
        <v>4014</v>
      </c>
    </row>
    <row r="72">
      <c r="A72" s="77" t="s">
        <v>4014</v>
      </c>
    </row>
    <row r="73">
      <c r="A73" s="77" t="s">
        <v>4014</v>
      </c>
    </row>
    <row r="74">
      <c r="A74" s="77" t="s">
        <v>4014</v>
      </c>
    </row>
    <row r="75">
      <c r="A75" s="77" t="s">
        <v>4014</v>
      </c>
    </row>
    <row r="76">
      <c r="A76" s="77" t="s">
        <v>4014</v>
      </c>
    </row>
    <row r="77">
      <c r="A77" s="77" t="s">
        <v>4014</v>
      </c>
    </row>
    <row r="78">
      <c r="A78" s="77" t="s">
        <v>4014</v>
      </c>
    </row>
    <row r="79">
      <c r="A79" s="77" t="s">
        <v>4014</v>
      </c>
    </row>
    <row r="80">
      <c r="A80" s="77" t="s">
        <v>4014</v>
      </c>
    </row>
    <row r="81">
      <c r="A81" s="77" t="s">
        <v>4014</v>
      </c>
    </row>
    <row r="82">
      <c r="A82" s="77" t="s">
        <v>4014</v>
      </c>
    </row>
    <row r="83">
      <c r="A83" s="77" t="s">
        <v>4014</v>
      </c>
    </row>
    <row r="84">
      <c r="A84" s="77" t="s">
        <v>4014</v>
      </c>
    </row>
    <row r="85">
      <c r="A85" s="77" t="s">
        <v>4014</v>
      </c>
    </row>
    <row r="86">
      <c r="A86" s="77" t="s">
        <v>4014</v>
      </c>
    </row>
    <row r="87">
      <c r="A87" s="77" t="s">
        <v>4014</v>
      </c>
    </row>
    <row r="88">
      <c r="A88" s="77" t="s">
        <v>4014</v>
      </c>
    </row>
    <row r="89">
      <c r="A89" s="77" t="s">
        <v>4014</v>
      </c>
    </row>
    <row r="90">
      <c r="A90" s="77" t="s">
        <v>4014</v>
      </c>
    </row>
    <row r="91">
      <c r="A91" s="77" t="s">
        <v>4014</v>
      </c>
    </row>
    <row r="92">
      <c r="A92" s="77" t="s">
        <v>4014</v>
      </c>
    </row>
    <row r="93">
      <c r="A93" s="77" t="s">
        <v>4014</v>
      </c>
    </row>
    <row r="94">
      <c r="A94" s="77" t="s">
        <v>4014</v>
      </c>
    </row>
    <row r="95">
      <c r="A95" s="77" t="s">
        <v>4014</v>
      </c>
    </row>
    <row r="96">
      <c r="A96" s="77" t="s">
        <v>4014</v>
      </c>
    </row>
    <row r="97">
      <c r="A97" s="77" t="s">
        <v>4014</v>
      </c>
    </row>
    <row r="98">
      <c r="A98" s="77" t="s">
        <v>4014</v>
      </c>
    </row>
    <row r="99">
      <c r="A99" s="77" t="s">
        <v>4014</v>
      </c>
    </row>
    <row r="100">
      <c r="A100" s="77" t="s">
        <v>4014</v>
      </c>
    </row>
    <row r="101">
      <c r="A101" s="77" t="s">
        <v>4014</v>
      </c>
    </row>
    <row r="102">
      <c r="A102" s="77" t="s">
        <v>4014</v>
      </c>
    </row>
    <row r="103">
      <c r="A103" s="77" t="s">
        <v>4014</v>
      </c>
    </row>
    <row r="104">
      <c r="A104" s="77" t="s">
        <v>4014</v>
      </c>
    </row>
    <row r="105">
      <c r="A105" s="77" t="s">
        <v>4014</v>
      </c>
    </row>
    <row r="106">
      <c r="A106" s="77" t="s">
        <v>4014</v>
      </c>
    </row>
    <row r="107">
      <c r="A107" s="77" t="s">
        <v>4014</v>
      </c>
    </row>
    <row r="108">
      <c r="A108" s="77" t="s">
        <v>4014</v>
      </c>
    </row>
    <row r="109">
      <c r="A109" s="77" t="s">
        <v>4014</v>
      </c>
    </row>
    <row r="110">
      <c r="A110" s="77" t="s">
        <v>4014</v>
      </c>
    </row>
    <row r="111">
      <c r="A111" s="77" t="s">
        <v>4014</v>
      </c>
    </row>
    <row r="112">
      <c r="A112" s="77" t="s">
        <v>4014</v>
      </c>
    </row>
    <row r="113">
      <c r="A113" s="77" t="s">
        <v>4014</v>
      </c>
    </row>
    <row r="114">
      <c r="A114" s="77" t="s">
        <v>4014</v>
      </c>
    </row>
    <row r="115">
      <c r="A115" s="77" t="s">
        <v>4014</v>
      </c>
    </row>
    <row r="116">
      <c r="A116" s="77" t="s">
        <v>4014</v>
      </c>
    </row>
    <row r="117">
      <c r="A117" s="77" t="s">
        <v>4014</v>
      </c>
    </row>
    <row r="118">
      <c r="A118" s="77" t="s">
        <v>4014</v>
      </c>
    </row>
    <row r="119">
      <c r="A119" s="77" t="s">
        <v>4014</v>
      </c>
    </row>
    <row r="120">
      <c r="A120" s="77" t="s">
        <v>4014</v>
      </c>
    </row>
    <row r="121">
      <c r="A121" s="77" t="s">
        <v>4014</v>
      </c>
    </row>
    <row r="122">
      <c r="A122" s="77" t="s">
        <v>4014</v>
      </c>
    </row>
    <row r="123">
      <c r="A123" s="77" t="s">
        <v>4014</v>
      </c>
    </row>
    <row r="124">
      <c r="A124" s="77" t="s">
        <v>4014</v>
      </c>
    </row>
    <row r="125">
      <c r="A125" s="77" t="s">
        <v>4014</v>
      </c>
    </row>
    <row r="126">
      <c r="A126" s="77" t="s">
        <v>4014</v>
      </c>
    </row>
    <row r="127">
      <c r="A127" s="77" t="s">
        <v>4014</v>
      </c>
    </row>
    <row r="128">
      <c r="A128" s="77" t="s">
        <v>4014</v>
      </c>
    </row>
    <row r="129">
      <c r="A129" s="77" t="s">
        <v>4014</v>
      </c>
    </row>
    <row r="130">
      <c r="A130" s="77" t="s">
        <v>4014</v>
      </c>
    </row>
    <row r="131">
      <c r="A131" s="77" t="s">
        <v>4014</v>
      </c>
    </row>
    <row r="132">
      <c r="A132" s="77" t="s">
        <v>4014</v>
      </c>
    </row>
    <row r="133">
      <c r="A133" s="77" t="s">
        <v>4014</v>
      </c>
    </row>
    <row r="134">
      <c r="A134" s="77" t="s">
        <v>4014</v>
      </c>
    </row>
    <row r="135">
      <c r="A135" s="77" t="s">
        <v>4014</v>
      </c>
    </row>
    <row r="136">
      <c r="A136" s="77" t="s">
        <v>4014</v>
      </c>
    </row>
    <row r="137">
      <c r="A137" s="77" t="s">
        <v>4014</v>
      </c>
    </row>
    <row r="138">
      <c r="A138" s="77" t="s">
        <v>4014</v>
      </c>
    </row>
    <row r="139">
      <c r="A139" s="77" t="s">
        <v>4014</v>
      </c>
    </row>
    <row r="140">
      <c r="A140" s="77" t="s">
        <v>4014</v>
      </c>
    </row>
    <row r="141">
      <c r="A141" s="77" t="s">
        <v>4014</v>
      </c>
    </row>
    <row r="142">
      <c r="A142" s="77" t="s">
        <v>4014</v>
      </c>
    </row>
    <row r="143">
      <c r="A143" s="77" t="s">
        <v>4014</v>
      </c>
    </row>
    <row r="144">
      <c r="A144" s="77" t="s">
        <v>4014</v>
      </c>
    </row>
    <row r="145">
      <c r="A145" s="77" t="s">
        <v>4014</v>
      </c>
    </row>
    <row r="146">
      <c r="A146" s="77" t="s">
        <v>4014</v>
      </c>
    </row>
    <row r="147">
      <c r="A147" s="77" t="s">
        <v>4014</v>
      </c>
    </row>
    <row r="148">
      <c r="A148" s="77" t="s">
        <v>4014</v>
      </c>
    </row>
    <row r="149">
      <c r="A149" s="77" t="s">
        <v>4014</v>
      </c>
    </row>
    <row r="150">
      <c r="A150" s="77" t="s">
        <v>4014</v>
      </c>
    </row>
    <row r="151">
      <c r="A151" s="77" t="s">
        <v>4014</v>
      </c>
    </row>
    <row r="152">
      <c r="A152" s="77" t="s">
        <v>4014</v>
      </c>
    </row>
    <row r="153">
      <c r="A153" s="77" t="s">
        <v>4014</v>
      </c>
    </row>
    <row r="154">
      <c r="A154" s="77" t="s">
        <v>4014</v>
      </c>
    </row>
    <row r="155">
      <c r="A155" s="77" t="s">
        <v>4014</v>
      </c>
    </row>
    <row r="156">
      <c r="A156" s="77" t="s">
        <v>4014</v>
      </c>
    </row>
    <row r="157">
      <c r="A157" s="77" t="s">
        <v>4014</v>
      </c>
    </row>
    <row r="158">
      <c r="A158" s="77" t="s">
        <v>4014</v>
      </c>
    </row>
    <row r="159">
      <c r="A159" s="77" t="s">
        <v>4014</v>
      </c>
    </row>
    <row r="160">
      <c r="A160" s="77" t="s">
        <v>4014</v>
      </c>
    </row>
    <row r="161">
      <c r="A161" s="77" t="s">
        <v>4014</v>
      </c>
    </row>
    <row r="162">
      <c r="A162" s="77" t="s">
        <v>4014</v>
      </c>
    </row>
    <row r="163">
      <c r="A163" s="77" t="s">
        <v>4014</v>
      </c>
    </row>
    <row r="164">
      <c r="A164" s="77" t="s">
        <v>4014</v>
      </c>
    </row>
    <row r="165">
      <c r="A165" s="77" t="s">
        <v>4014</v>
      </c>
    </row>
    <row r="166">
      <c r="A166" s="77" t="s">
        <v>4014</v>
      </c>
    </row>
    <row r="167">
      <c r="A167" s="77" t="s">
        <v>4014</v>
      </c>
    </row>
    <row r="168">
      <c r="A168" s="77" t="s">
        <v>4014</v>
      </c>
    </row>
    <row r="169">
      <c r="A169" s="77" t="s">
        <v>4014</v>
      </c>
    </row>
    <row r="170">
      <c r="A170" s="77" t="s">
        <v>4014</v>
      </c>
    </row>
    <row r="171">
      <c r="A171" s="77" t="s">
        <v>4014</v>
      </c>
    </row>
    <row r="172">
      <c r="A172" s="77" t="s">
        <v>4014</v>
      </c>
    </row>
    <row r="173">
      <c r="A173" s="77" t="s">
        <v>4014</v>
      </c>
    </row>
    <row r="174">
      <c r="A174" s="77" t="s">
        <v>4014</v>
      </c>
    </row>
    <row r="175">
      <c r="A175" s="77" t="s">
        <v>4014</v>
      </c>
    </row>
    <row r="176">
      <c r="A176" s="77" t="s">
        <v>4014</v>
      </c>
    </row>
    <row r="177">
      <c r="A177" s="77" t="s">
        <v>4014</v>
      </c>
    </row>
    <row r="178">
      <c r="A178" s="77" t="s">
        <v>4014</v>
      </c>
    </row>
    <row r="179">
      <c r="A179" s="77" t="s">
        <v>4014</v>
      </c>
    </row>
    <row r="180">
      <c r="A180" s="77" t="s">
        <v>4014</v>
      </c>
    </row>
    <row r="181">
      <c r="A181" s="77" t="s">
        <v>4014</v>
      </c>
    </row>
    <row r="182">
      <c r="A182" s="77" t="s">
        <v>4014</v>
      </c>
    </row>
    <row r="183">
      <c r="A183" s="77" t="s">
        <v>4014</v>
      </c>
    </row>
    <row r="184">
      <c r="A184" s="77" t="s">
        <v>4014</v>
      </c>
    </row>
    <row r="185">
      <c r="A185" s="77" t="s">
        <v>4014</v>
      </c>
    </row>
    <row r="186">
      <c r="A186" s="77" t="s">
        <v>4014</v>
      </c>
    </row>
    <row r="187">
      <c r="A187" s="77" t="s">
        <v>4014</v>
      </c>
    </row>
    <row r="188">
      <c r="A188" s="77" t="s">
        <v>4014</v>
      </c>
    </row>
    <row r="189">
      <c r="A189" s="77" t="s">
        <v>4014</v>
      </c>
    </row>
    <row r="190">
      <c r="A190" s="77" t="s">
        <v>4014</v>
      </c>
    </row>
    <row r="191">
      <c r="A191" s="77" t="s">
        <v>4014</v>
      </c>
    </row>
    <row r="192">
      <c r="A192" s="77" t="s">
        <v>4014</v>
      </c>
    </row>
    <row r="193">
      <c r="A193" s="77" t="s">
        <v>4014</v>
      </c>
    </row>
    <row r="194">
      <c r="A194" s="77" t="s">
        <v>4014</v>
      </c>
    </row>
    <row r="195">
      <c r="A195" s="77" t="s">
        <v>4014</v>
      </c>
    </row>
    <row r="196">
      <c r="A196" s="77" t="s">
        <v>4014</v>
      </c>
    </row>
    <row r="197">
      <c r="A197" s="77" t="s">
        <v>4014</v>
      </c>
    </row>
    <row r="198">
      <c r="A198" s="77" t="s">
        <v>4014</v>
      </c>
    </row>
    <row r="199">
      <c r="A199" s="77" t="s">
        <v>4014</v>
      </c>
    </row>
    <row r="200">
      <c r="A200" s="77" t="s">
        <v>4014</v>
      </c>
    </row>
    <row r="201">
      <c r="A201" s="77" t="s">
        <v>4014</v>
      </c>
    </row>
    <row r="202">
      <c r="A202" s="77" t="s">
        <v>4014</v>
      </c>
    </row>
    <row r="203">
      <c r="A203" s="77" t="s">
        <v>4014</v>
      </c>
    </row>
    <row r="204">
      <c r="A204" s="77" t="s">
        <v>4014</v>
      </c>
    </row>
    <row r="205">
      <c r="A205" s="77" t="s">
        <v>4014</v>
      </c>
    </row>
    <row r="206">
      <c r="A206" s="77" t="s">
        <v>4014</v>
      </c>
    </row>
    <row r="207">
      <c r="A207" s="77" t="s">
        <v>4014</v>
      </c>
    </row>
    <row r="208">
      <c r="A208" s="77" t="s">
        <v>4014</v>
      </c>
    </row>
    <row r="209">
      <c r="A209" s="77" t="s">
        <v>4014</v>
      </c>
    </row>
    <row r="210">
      <c r="A210" s="77" t="s">
        <v>4014</v>
      </c>
    </row>
    <row r="211">
      <c r="A211" s="77" t="s">
        <v>4014</v>
      </c>
    </row>
    <row r="212">
      <c r="A212" s="77" t="s">
        <v>4014</v>
      </c>
    </row>
    <row r="213">
      <c r="A213" s="77" t="s">
        <v>4014</v>
      </c>
    </row>
    <row r="214">
      <c r="A214" s="77" t="s">
        <v>4014</v>
      </c>
    </row>
    <row r="215">
      <c r="A215" s="77" t="s">
        <v>4014</v>
      </c>
    </row>
    <row r="216">
      <c r="A216" s="77" t="s">
        <v>4014</v>
      </c>
    </row>
    <row r="217">
      <c r="A217" s="77" t="s">
        <v>4014</v>
      </c>
    </row>
    <row r="218">
      <c r="A218" s="77" t="s">
        <v>4014</v>
      </c>
    </row>
    <row r="219">
      <c r="A219" s="77" t="s">
        <v>4014</v>
      </c>
    </row>
    <row r="220">
      <c r="A220" s="77" t="s">
        <v>4014</v>
      </c>
    </row>
    <row r="221">
      <c r="A221" s="77" t="s">
        <v>4014</v>
      </c>
    </row>
    <row r="222">
      <c r="A222" s="77" t="s">
        <v>4014</v>
      </c>
    </row>
    <row r="223">
      <c r="A223" s="77" t="s">
        <v>4014</v>
      </c>
    </row>
    <row r="224">
      <c r="A224" s="77" t="s">
        <v>4014</v>
      </c>
    </row>
    <row r="225">
      <c r="A225" s="77" t="s">
        <v>4014</v>
      </c>
    </row>
    <row r="226">
      <c r="A226" s="77" t="s">
        <v>4014</v>
      </c>
    </row>
    <row r="227">
      <c r="A227" s="77" t="s">
        <v>4014</v>
      </c>
    </row>
    <row r="228">
      <c r="A228" s="77" t="s">
        <v>4014</v>
      </c>
    </row>
    <row r="229">
      <c r="A229" s="77" t="s">
        <v>4014</v>
      </c>
    </row>
    <row r="230">
      <c r="A230" s="77" t="s">
        <v>4014</v>
      </c>
    </row>
    <row r="231">
      <c r="A231" s="77" t="s">
        <v>4014</v>
      </c>
    </row>
    <row r="232">
      <c r="A232" s="77" t="s">
        <v>4014</v>
      </c>
    </row>
    <row r="233">
      <c r="A233" s="77" t="s">
        <v>4014</v>
      </c>
    </row>
    <row r="234">
      <c r="A234" s="77" t="s">
        <v>4014</v>
      </c>
    </row>
    <row r="235">
      <c r="A235" s="77" t="s">
        <v>4014</v>
      </c>
    </row>
    <row r="236">
      <c r="A236" s="77" t="s">
        <v>4014</v>
      </c>
    </row>
    <row r="237">
      <c r="A237" s="77" t="s">
        <v>4014</v>
      </c>
    </row>
    <row r="238">
      <c r="A238" s="77" t="s">
        <v>4014</v>
      </c>
    </row>
    <row r="239">
      <c r="A239" s="77" t="s">
        <v>4014</v>
      </c>
    </row>
    <row r="240">
      <c r="A240" s="77" t="s">
        <v>4014</v>
      </c>
    </row>
    <row r="241">
      <c r="A241" s="77" t="s">
        <v>4014</v>
      </c>
    </row>
    <row r="242">
      <c r="A242" s="77" t="s">
        <v>4014</v>
      </c>
    </row>
    <row r="243">
      <c r="A243" s="77" t="s">
        <v>4014</v>
      </c>
    </row>
    <row r="244">
      <c r="A244" s="77" t="s">
        <v>4014</v>
      </c>
    </row>
    <row r="245">
      <c r="A245" s="77" t="s">
        <v>4014</v>
      </c>
    </row>
    <row r="246">
      <c r="A246" s="77" t="s">
        <v>4014</v>
      </c>
    </row>
    <row r="247">
      <c r="A247" s="77" t="s">
        <v>4014</v>
      </c>
    </row>
    <row r="248">
      <c r="A248" s="77" t="s">
        <v>4014</v>
      </c>
    </row>
    <row r="249">
      <c r="A249" s="77" t="s">
        <v>4014</v>
      </c>
    </row>
    <row r="250">
      <c r="A250" s="77" t="s">
        <v>4014</v>
      </c>
    </row>
    <row r="251">
      <c r="A251" s="77" t="s">
        <v>4014</v>
      </c>
    </row>
    <row r="252">
      <c r="A252" s="77" t="s">
        <v>4014</v>
      </c>
    </row>
    <row r="253">
      <c r="A253" s="77" t="s">
        <v>4014</v>
      </c>
    </row>
    <row r="254">
      <c r="A254" s="77" t="s">
        <v>4014</v>
      </c>
    </row>
    <row r="255">
      <c r="A255" s="77" t="s">
        <v>4014</v>
      </c>
    </row>
    <row r="256">
      <c r="A256" s="77" t="s">
        <v>4014</v>
      </c>
    </row>
    <row r="257">
      <c r="A257" s="77" t="s">
        <v>4014</v>
      </c>
    </row>
    <row r="258">
      <c r="A258" s="77" t="s">
        <v>4014</v>
      </c>
    </row>
    <row r="259">
      <c r="A259" s="77" t="s">
        <v>4014</v>
      </c>
    </row>
    <row r="260">
      <c r="A260" s="77" t="s">
        <v>4014</v>
      </c>
    </row>
    <row r="261">
      <c r="A261" s="77" t="s">
        <v>4014</v>
      </c>
    </row>
    <row r="262">
      <c r="A262" s="77" t="s">
        <v>4014</v>
      </c>
    </row>
    <row r="263">
      <c r="A263" s="77" t="s">
        <v>4014</v>
      </c>
    </row>
    <row r="264">
      <c r="A264" s="77" t="s">
        <v>4014</v>
      </c>
    </row>
    <row r="265">
      <c r="A265" s="77" t="s">
        <v>4014</v>
      </c>
    </row>
    <row r="266">
      <c r="A266" s="77" t="s">
        <v>4014</v>
      </c>
    </row>
    <row r="267">
      <c r="A267" s="77" t="s">
        <v>4014</v>
      </c>
    </row>
    <row r="268">
      <c r="A268" s="77" t="s">
        <v>4014</v>
      </c>
    </row>
    <row r="269">
      <c r="A269" s="77" t="s">
        <v>4014</v>
      </c>
    </row>
    <row r="270">
      <c r="A270" s="77" t="s">
        <v>4014</v>
      </c>
    </row>
    <row r="271">
      <c r="A271" s="77" t="s">
        <v>4014</v>
      </c>
    </row>
    <row r="272">
      <c r="A272" s="77" t="s">
        <v>4014</v>
      </c>
    </row>
    <row r="273">
      <c r="A273" s="77" t="s">
        <v>4014</v>
      </c>
    </row>
    <row r="274">
      <c r="A274" s="77" t="s">
        <v>4014</v>
      </c>
    </row>
    <row r="275">
      <c r="A275" s="77" t="s">
        <v>4014</v>
      </c>
    </row>
    <row r="276">
      <c r="A276" s="77" t="s">
        <v>4014</v>
      </c>
    </row>
    <row r="277">
      <c r="A277" s="77" t="s">
        <v>4014</v>
      </c>
    </row>
    <row r="278">
      <c r="A278" s="77" t="s">
        <v>4014</v>
      </c>
    </row>
    <row r="279">
      <c r="A279" s="77" t="s">
        <v>4014</v>
      </c>
    </row>
    <row r="280">
      <c r="A280" s="77" t="s">
        <v>4014</v>
      </c>
    </row>
    <row r="281">
      <c r="A281" s="77" t="s">
        <v>4014</v>
      </c>
    </row>
    <row r="282">
      <c r="A282" s="77" t="s">
        <v>4014</v>
      </c>
    </row>
    <row r="283">
      <c r="A283" s="77" t="s">
        <v>4014</v>
      </c>
    </row>
    <row r="284">
      <c r="A284" s="77" t="s">
        <v>4014</v>
      </c>
    </row>
    <row r="285">
      <c r="A285" s="77" t="s">
        <v>4014</v>
      </c>
    </row>
    <row r="286">
      <c r="A286" s="77" t="s">
        <v>4014</v>
      </c>
    </row>
    <row r="287">
      <c r="A287" s="77" t="s">
        <v>4014</v>
      </c>
    </row>
    <row r="288">
      <c r="A288" s="77" t="s">
        <v>4014</v>
      </c>
    </row>
    <row r="289">
      <c r="A289" s="77" t="s">
        <v>4014</v>
      </c>
    </row>
    <row r="290">
      <c r="A290" s="77" t="s">
        <v>4014</v>
      </c>
    </row>
    <row r="291">
      <c r="A291" s="77" t="s">
        <v>4014</v>
      </c>
    </row>
    <row r="292">
      <c r="A292" s="77" t="s">
        <v>4014</v>
      </c>
    </row>
    <row r="293">
      <c r="A293" s="77" t="s">
        <v>4014</v>
      </c>
    </row>
    <row r="294">
      <c r="A294" s="77" t="s">
        <v>4014</v>
      </c>
    </row>
    <row r="295">
      <c r="A295" s="77" t="s">
        <v>4014</v>
      </c>
    </row>
    <row r="296">
      <c r="A296" s="77" t="s">
        <v>4014</v>
      </c>
    </row>
    <row r="297">
      <c r="A297" s="77" t="s">
        <v>4014</v>
      </c>
    </row>
    <row r="298">
      <c r="A298" s="77" t="s">
        <v>4014</v>
      </c>
    </row>
    <row r="299">
      <c r="A299" s="77" t="s">
        <v>4014</v>
      </c>
    </row>
    <row r="300">
      <c r="A300" s="77" t="s">
        <v>4014</v>
      </c>
    </row>
    <row r="301">
      <c r="A301" s="77" t="s">
        <v>4014</v>
      </c>
    </row>
    <row r="302">
      <c r="A302" s="77" t="s">
        <v>4014</v>
      </c>
    </row>
    <row r="303">
      <c r="A303" s="77" t="s">
        <v>4014</v>
      </c>
    </row>
    <row r="304">
      <c r="A304" s="77" t="s">
        <v>4014</v>
      </c>
    </row>
    <row r="305">
      <c r="A305" s="77" t="s">
        <v>4014</v>
      </c>
    </row>
    <row r="306">
      <c r="A306" s="77" t="s">
        <v>4014</v>
      </c>
    </row>
    <row r="307">
      <c r="A307" s="77" t="s">
        <v>4014</v>
      </c>
    </row>
    <row r="308">
      <c r="A308" s="77" t="s">
        <v>4014</v>
      </c>
    </row>
    <row r="309">
      <c r="A309" s="77" t="s">
        <v>4014</v>
      </c>
    </row>
    <row r="310">
      <c r="A310" s="77" t="s">
        <v>4014</v>
      </c>
    </row>
    <row r="311">
      <c r="A311" s="77" t="s">
        <v>4014</v>
      </c>
    </row>
    <row r="312">
      <c r="A312" s="77" t="s">
        <v>4014</v>
      </c>
    </row>
    <row r="313">
      <c r="A313" s="77" t="s">
        <v>4014</v>
      </c>
    </row>
    <row r="314">
      <c r="A314" s="77" t="s">
        <v>4014</v>
      </c>
    </row>
    <row r="315">
      <c r="A315" s="77" t="s">
        <v>4014</v>
      </c>
    </row>
    <row r="316">
      <c r="A316" s="77" t="s">
        <v>4014</v>
      </c>
    </row>
    <row r="317">
      <c r="A317" s="77" t="s">
        <v>4014</v>
      </c>
    </row>
    <row r="318">
      <c r="A318" s="77" t="s">
        <v>4014</v>
      </c>
    </row>
    <row r="319">
      <c r="A319" s="77" t="s">
        <v>4014</v>
      </c>
    </row>
    <row r="320">
      <c r="A320" s="77" t="s">
        <v>4014</v>
      </c>
    </row>
    <row r="321">
      <c r="A321" s="77" t="s">
        <v>4014</v>
      </c>
    </row>
    <row r="322">
      <c r="A322" s="77" t="s">
        <v>4014</v>
      </c>
    </row>
    <row r="323">
      <c r="A323" s="77" t="s">
        <v>4014</v>
      </c>
    </row>
    <row r="324">
      <c r="A324" s="77" t="s">
        <v>4014</v>
      </c>
    </row>
    <row r="325">
      <c r="A325" s="77" t="s">
        <v>4014</v>
      </c>
    </row>
    <row r="326">
      <c r="A326" s="77" t="s">
        <v>4014</v>
      </c>
    </row>
    <row r="327">
      <c r="A327" s="77" t="s">
        <v>4014</v>
      </c>
    </row>
    <row r="328">
      <c r="A328" s="77" t="s">
        <v>4014</v>
      </c>
    </row>
    <row r="329">
      <c r="A329" s="77" t="s">
        <v>4014</v>
      </c>
    </row>
    <row r="330">
      <c r="A330" s="77" t="s">
        <v>4014</v>
      </c>
    </row>
    <row r="331">
      <c r="A331" s="77" t="s">
        <v>4014</v>
      </c>
    </row>
    <row r="332">
      <c r="A332" s="77" t="s">
        <v>4014</v>
      </c>
    </row>
    <row r="333">
      <c r="A333" s="77" t="s">
        <v>4014</v>
      </c>
    </row>
    <row r="334">
      <c r="A334" s="77" t="s">
        <v>4014</v>
      </c>
    </row>
    <row r="335">
      <c r="A335" s="77" t="s">
        <v>4014</v>
      </c>
    </row>
    <row r="336">
      <c r="A336" s="77" t="s">
        <v>4014</v>
      </c>
    </row>
    <row r="337">
      <c r="A337" s="77" t="s">
        <v>4014</v>
      </c>
    </row>
    <row r="338">
      <c r="A338" s="77" t="s">
        <v>4014</v>
      </c>
    </row>
    <row r="339">
      <c r="A339" s="77" t="s">
        <v>4014</v>
      </c>
    </row>
    <row r="340">
      <c r="A340" s="77" t="s">
        <v>4014</v>
      </c>
    </row>
    <row r="341">
      <c r="A341" s="77" t="s">
        <v>4014</v>
      </c>
    </row>
    <row r="342">
      <c r="A342" s="77" t="s">
        <v>4014</v>
      </c>
    </row>
    <row r="343">
      <c r="A343" s="77" t="s">
        <v>4014</v>
      </c>
    </row>
    <row r="344">
      <c r="A344" s="77" t="s">
        <v>4014</v>
      </c>
    </row>
    <row r="345">
      <c r="A345" s="77" t="s">
        <v>4014</v>
      </c>
    </row>
    <row r="346">
      <c r="A346" s="77" t="s">
        <v>4014</v>
      </c>
    </row>
    <row r="347">
      <c r="A347" s="77" t="s">
        <v>4014</v>
      </c>
    </row>
    <row r="348">
      <c r="A348" s="77" t="s">
        <v>4014</v>
      </c>
    </row>
    <row r="349">
      <c r="A349" s="77" t="s">
        <v>4014</v>
      </c>
    </row>
    <row r="350">
      <c r="A350" s="77" t="s">
        <v>4014</v>
      </c>
    </row>
    <row r="351">
      <c r="A351" s="77" t="s">
        <v>4014</v>
      </c>
    </row>
    <row r="352">
      <c r="A352" s="77" t="s">
        <v>4014</v>
      </c>
    </row>
    <row r="353">
      <c r="A353" s="77" t="s">
        <v>4014</v>
      </c>
    </row>
    <row r="354">
      <c r="A354" s="77" t="s">
        <v>4014</v>
      </c>
    </row>
    <row r="355">
      <c r="A355" s="77" t="s">
        <v>4014</v>
      </c>
    </row>
    <row r="356">
      <c r="A356" s="77" t="s">
        <v>4014</v>
      </c>
    </row>
    <row r="357">
      <c r="A357" s="77" t="s">
        <v>4014</v>
      </c>
    </row>
    <row r="358">
      <c r="A358" s="77" t="s">
        <v>4014</v>
      </c>
    </row>
    <row r="359">
      <c r="A359" s="77" t="s">
        <v>4014</v>
      </c>
    </row>
    <row r="360">
      <c r="A360" s="77" t="s">
        <v>4014</v>
      </c>
    </row>
    <row r="361">
      <c r="A361" s="77" t="s">
        <v>4014</v>
      </c>
    </row>
    <row r="362">
      <c r="A362" s="77" t="s">
        <v>4014</v>
      </c>
    </row>
    <row r="363">
      <c r="A363" s="77" t="s">
        <v>4014</v>
      </c>
    </row>
    <row r="364">
      <c r="A364" s="77" t="s">
        <v>4014</v>
      </c>
    </row>
    <row r="365">
      <c r="A365" s="77" t="s">
        <v>4014</v>
      </c>
    </row>
    <row r="366">
      <c r="A366" s="77" t="s">
        <v>4014</v>
      </c>
    </row>
    <row r="367">
      <c r="A367" s="77" t="s">
        <v>4014</v>
      </c>
    </row>
    <row r="368">
      <c r="A368" s="77" t="s">
        <v>4014</v>
      </c>
    </row>
    <row r="369">
      <c r="A369" s="77" t="s">
        <v>4014</v>
      </c>
    </row>
    <row r="370">
      <c r="A370" s="77" t="s">
        <v>4014</v>
      </c>
    </row>
    <row r="371">
      <c r="A371" s="77" t="s">
        <v>4014</v>
      </c>
    </row>
    <row r="372">
      <c r="A372" s="77" t="s">
        <v>4014</v>
      </c>
    </row>
    <row r="373">
      <c r="A373" s="77" t="s">
        <v>4014</v>
      </c>
    </row>
    <row r="374">
      <c r="A374" s="77" t="s">
        <v>4014</v>
      </c>
    </row>
    <row r="375">
      <c r="A375" s="77" t="s">
        <v>4014</v>
      </c>
    </row>
    <row r="376">
      <c r="A376" s="77" t="s">
        <v>4014</v>
      </c>
    </row>
    <row r="377">
      <c r="A377" s="77" t="s">
        <v>4014</v>
      </c>
    </row>
    <row r="378">
      <c r="A378" s="77" t="s">
        <v>4014</v>
      </c>
    </row>
    <row r="379">
      <c r="A379" s="77" t="s">
        <v>4014</v>
      </c>
    </row>
    <row r="380">
      <c r="A380" s="77" t="s">
        <v>4014</v>
      </c>
    </row>
    <row r="381">
      <c r="A381" s="77" t="s">
        <v>4014</v>
      </c>
    </row>
    <row r="382">
      <c r="A382" s="77" t="s">
        <v>4014</v>
      </c>
    </row>
    <row r="383">
      <c r="A383" s="77" t="s">
        <v>4014</v>
      </c>
    </row>
    <row r="384">
      <c r="A384" s="77" t="s">
        <v>4014</v>
      </c>
    </row>
    <row r="385">
      <c r="A385" s="77" t="s">
        <v>4014</v>
      </c>
    </row>
    <row r="386">
      <c r="A386" s="77" t="s">
        <v>4014</v>
      </c>
    </row>
    <row r="387">
      <c r="A387" s="77" t="s">
        <v>4014</v>
      </c>
    </row>
    <row r="388">
      <c r="A388" s="77" t="s">
        <v>4014</v>
      </c>
    </row>
    <row r="389">
      <c r="A389" s="77" t="s">
        <v>4014</v>
      </c>
    </row>
    <row r="390">
      <c r="A390" s="77" t="s">
        <v>4014</v>
      </c>
    </row>
    <row r="391">
      <c r="A391" s="77" t="s">
        <v>4014</v>
      </c>
    </row>
    <row r="392">
      <c r="A392" s="77" t="s">
        <v>4014</v>
      </c>
    </row>
    <row r="393">
      <c r="A393" s="77" t="s">
        <v>4014</v>
      </c>
    </row>
    <row r="394">
      <c r="A394" s="77" t="s">
        <v>4014</v>
      </c>
    </row>
    <row r="395">
      <c r="A395" s="77" t="s">
        <v>4014</v>
      </c>
    </row>
    <row r="396">
      <c r="A396" s="77" t="s">
        <v>4014</v>
      </c>
    </row>
    <row r="397">
      <c r="A397" s="77" t="s">
        <v>4014</v>
      </c>
    </row>
    <row r="398">
      <c r="A398" s="77" t="s">
        <v>4014</v>
      </c>
    </row>
    <row r="399">
      <c r="A399" s="77" t="s">
        <v>4014</v>
      </c>
    </row>
    <row r="400">
      <c r="A400" s="77" t="s">
        <v>4014</v>
      </c>
    </row>
    <row r="401">
      <c r="A401" s="77" t="s">
        <v>4014</v>
      </c>
    </row>
    <row r="402">
      <c r="A402" s="77" t="s">
        <v>4014</v>
      </c>
    </row>
    <row r="403">
      <c r="A403" s="77" t="s">
        <v>4014</v>
      </c>
    </row>
    <row r="404">
      <c r="A404" s="77" t="s">
        <v>4014</v>
      </c>
    </row>
    <row r="405">
      <c r="A405" s="77" t="s">
        <v>4014</v>
      </c>
    </row>
    <row r="406">
      <c r="A406" s="77" t="s">
        <v>4014</v>
      </c>
    </row>
    <row r="407">
      <c r="A407" s="77" t="s">
        <v>4014</v>
      </c>
    </row>
    <row r="408">
      <c r="A408" s="77" t="s">
        <v>4014</v>
      </c>
    </row>
    <row r="409">
      <c r="A409" s="77" t="s">
        <v>4014</v>
      </c>
    </row>
    <row r="410">
      <c r="A410" s="77" t="s">
        <v>4014</v>
      </c>
    </row>
    <row r="411">
      <c r="A411" s="77" t="s">
        <v>4014</v>
      </c>
    </row>
    <row r="412">
      <c r="A412" s="77" t="s">
        <v>4014</v>
      </c>
    </row>
    <row r="413">
      <c r="A413" s="77" t="s">
        <v>4014</v>
      </c>
    </row>
    <row r="414">
      <c r="A414" s="77" t="s">
        <v>4014</v>
      </c>
    </row>
    <row r="415">
      <c r="A415" s="77" t="s">
        <v>4014</v>
      </c>
    </row>
    <row r="416">
      <c r="A416" s="77" t="s">
        <v>4014</v>
      </c>
    </row>
    <row r="417">
      <c r="A417" s="77" t="s">
        <v>4014</v>
      </c>
    </row>
    <row r="418">
      <c r="A418" s="77" t="s">
        <v>4014</v>
      </c>
    </row>
    <row r="419">
      <c r="A419" s="77" t="s">
        <v>4014</v>
      </c>
    </row>
    <row r="420">
      <c r="A420" s="77" t="s">
        <v>4014</v>
      </c>
    </row>
    <row r="421">
      <c r="A421" s="77" t="s">
        <v>4014</v>
      </c>
    </row>
    <row r="422">
      <c r="A422" s="77" t="s">
        <v>4014</v>
      </c>
    </row>
    <row r="423">
      <c r="A423" s="77" t="s">
        <v>4014</v>
      </c>
    </row>
    <row r="424">
      <c r="A424" s="77" t="s">
        <v>4014</v>
      </c>
    </row>
    <row r="425">
      <c r="A425" s="77" t="s">
        <v>4014</v>
      </c>
    </row>
    <row r="426">
      <c r="A426" s="77" t="s">
        <v>4014</v>
      </c>
    </row>
    <row r="427">
      <c r="A427" s="77" t="s">
        <v>4014</v>
      </c>
    </row>
    <row r="428">
      <c r="A428" s="77" t="s">
        <v>4014</v>
      </c>
    </row>
    <row r="429">
      <c r="A429" s="77" t="s">
        <v>4014</v>
      </c>
    </row>
    <row r="430">
      <c r="A430" s="77" t="s">
        <v>4014</v>
      </c>
    </row>
    <row r="431">
      <c r="A431" s="77" t="s">
        <v>4014</v>
      </c>
    </row>
    <row r="432">
      <c r="A432" s="77" t="s">
        <v>4014</v>
      </c>
    </row>
    <row r="433">
      <c r="A433" s="77" t="s">
        <v>4014</v>
      </c>
    </row>
    <row r="434">
      <c r="A434" s="77" t="s">
        <v>4014</v>
      </c>
    </row>
    <row r="435">
      <c r="A435" s="77" t="s">
        <v>4014</v>
      </c>
    </row>
    <row r="436">
      <c r="A436" s="77" t="s">
        <v>4014</v>
      </c>
    </row>
    <row r="437">
      <c r="A437" s="77" t="s">
        <v>4014</v>
      </c>
    </row>
    <row r="438">
      <c r="A438" s="77" t="s">
        <v>4014</v>
      </c>
    </row>
    <row r="439">
      <c r="A439" s="77" t="s">
        <v>4014</v>
      </c>
    </row>
    <row r="440">
      <c r="A440" s="77" t="s">
        <v>4014</v>
      </c>
    </row>
    <row r="441">
      <c r="A441" s="77" t="s">
        <v>4014</v>
      </c>
    </row>
    <row r="442">
      <c r="A442" s="77" t="s">
        <v>4014</v>
      </c>
    </row>
    <row r="443">
      <c r="A443" s="77" t="s">
        <v>4014</v>
      </c>
    </row>
    <row r="444">
      <c r="A444" s="77" t="s">
        <v>4014</v>
      </c>
    </row>
    <row r="445">
      <c r="A445" s="77" t="s">
        <v>4014</v>
      </c>
    </row>
    <row r="446">
      <c r="A446" s="77" t="s">
        <v>4014</v>
      </c>
    </row>
    <row r="447">
      <c r="A447" s="77" t="s">
        <v>4014</v>
      </c>
    </row>
    <row r="448">
      <c r="A448" s="77" t="s">
        <v>4014</v>
      </c>
    </row>
    <row r="449">
      <c r="A449" s="77" t="s">
        <v>4014</v>
      </c>
    </row>
    <row r="450">
      <c r="A450" s="77" t="s">
        <v>4014</v>
      </c>
    </row>
    <row r="451">
      <c r="A451" s="77" t="s">
        <v>4014</v>
      </c>
    </row>
    <row r="452">
      <c r="A452" s="77" t="s">
        <v>4014</v>
      </c>
    </row>
    <row r="453">
      <c r="A453" s="77" t="s">
        <v>4014</v>
      </c>
    </row>
    <row r="454">
      <c r="A454" s="77" t="s">
        <v>4014</v>
      </c>
    </row>
    <row r="455">
      <c r="A455" s="77" t="s">
        <v>4014</v>
      </c>
    </row>
    <row r="456">
      <c r="A456" s="77" t="s">
        <v>4014</v>
      </c>
    </row>
    <row r="457">
      <c r="A457" s="77" t="s">
        <v>4014</v>
      </c>
    </row>
    <row r="458">
      <c r="A458" s="77" t="s">
        <v>4014</v>
      </c>
    </row>
    <row r="459">
      <c r="A459" s="77" t="s">
        <v>4014</v>
      </c>
    </row>
    <row r="460">
      <c r="A460" s="77" t="s">
        <v>4014</v>
      </c>
    </row>
    <row r="461">
      <c r="A461" s="77" t="s">
        <v>4014</v>
      </c>
    </row>
    <row r="462">
      <c r="A462" s="77" t="s">
        <v>4014</v>
      </c>
    </row>
    <row r="463">
      <c r="A463" s="77" t="s">
        <v>4014</v>
      </c>
    </row>
    <row r="464">
      <c r="A464" s="77" t="s">
        <v>4014</v>
      </c>
    </row>
    <row r="465">
      <c r="A465" s="77" t="s">
        <v>4014</v>
      </c>
    </row>
    <row r="466">
      <c r="A466" s="77" t="s">
        <v>4014</v>
      </c>
    </row>
    <row r="467">
      <c r="A467" s="77" t="s">
        <v>4014</v>
      </c>
    </row>
    <row r="468">
      <c r="A468" s="77" t="s">
        <v>4014</v>
      </c>
    </row>
    <row r="469">
      <c r="A469" s="77" t="s">
        <v>4014</v>
      </c>
    </row>
    <row r="470">
      <c r="A470" s="77" t="s">
        <v>4014</v>
      </c>
    </row>
    <row r="471">
      <c r="A471" s="77" t="s">
        <v>4014</v>
      </c>
    </row>
    <row r="472">
      <c r="A472" s="77" t="s">
        <v>4014</v>
      </c>
    </row>
    <row r="473">
      <c r="A473" s="77" t="s">
        <v>4014</v>
      </c>
    </row>
    <row r="474">
      <c r="A474" s="77" t="s">
        <v>4014</v>
      </c>
    </row>
    <row r="475">
      <c r="A475" s="77" t="s">
        <v>4014</v>
      </c>
    </row>
    <row r="476">
      <c r="A476" s="77" t="s">
        <v>4014</v>
      </c>
    </row>
    <row r="477">
      <c r="A477" s="77" t="s">
        <v>4014</v>
      </c>
    </row>
    <row r="478">
      <c r="A478" s="77" t="s">
        <v>4014</v>
      </c>
    </row>
    <row r="479">
      <c r="A479" s="77" t="s">
        <v>4014</v>
      </c>
    </row>
    <row r="480">
      <c r="A480" s="77" t="s">
        <v>4014</v>
      </c>
    </row>
    <row r="481">
      <c r="A481" s="77" t="s">
        <v>4014</v>
      </c>
    </row>
    <row r="482">
      <c r="A482" s="77" t="s">
        <v>4014</v>
      </c>
    </row>
    <row r="483">
      <c r="A483" s="77" t="s">
        <v>4014</v>
      </c>
    </row>
    <row r="484">
      <c r="A484" s="77" t="s">
        <v>4014</v>
      </c>
    </row>
    <row r="485">
      <c r="A485" s="77" t="s">
        <v>4014</v>
      </c>
    </row>
    <row r="486">
      <c r="A486" s="77" t="s">
        <v>4014</v>
      </c>
    </row>
    <row r="487">
      <c r="A487" s="77" t="s">
        <v>4014</v>
      </c>
    </row>
    <row r="488">
      <c r="A488" s="77" t="s">
        <v>4014</v>
      </c>
    </row>
    <row r="489">
      <c r="A489" s="77" t="s">
        <v>4014</v>
      </c>
    </row>
    <row r="490">
      <c r="A490" s="77" t="s">
        <v>4014</v>
      </c>
    </row>
    <row r="491">
      <c r="A491" s="77" t="s">
        <v>4014</v>
      </c>
    </row>
    <row r="492">
      <c r="A492" s="77" t="s">
        <v>4014</v>
      </c>
    </row>
    <row r="493">
      <c r="A493" s="77" t="s">
        <v>4014</v>
      </c>
    </row>
    <row r="494">
      <c r="A494" s="77" t="s">
        <v>4014</v>
      </c>
    </row>
    <row r="495">
      <c r="A495" s="77" t="s">
        <v>4014</v>
      </c>
    </row>
    <row r="496">
      <c r="A496" s="77" t="s">
        <v>4014</v>
      </c>
    </row>
    <row r="497">
      <c r="A497" s="77" t="s">
        <v>4014</v>
      </c>
    </row>
    <row r="498">
      <c r="A498" s="77" t="s">
        <v>4014</v>
      </c>
    </row>
    <row r="499">
      <c r="A499" s="77" t="s">
        <v>4014</v>
      </c>
    </row>
    <row r="500">
      <c r="A500" s="77" t="s">
        <v>4014</v>
      </c>
    </row>
    <row r="501">
      <c r="A501" s="77" t="s">
        <v>4014</v>
      </c>
    </row>
    <row r="502">
      <c r="A502" s="77" t="s">
        <v>4014</v>
      </c>
    </row>
    <row r="503">
      <c r="A503" s="77" t="s">
        <v>4014</v>
      </c>
    </row>
    <row r="504">
      <c r="A504" s="77" t="s">
        <v>4014</v>
      </c>
    </row>
    <row r="505">
      <c r="A505" s="77" t="s">
        <v>4014</v>
      </c>
    </row>
    <row r="506">
      <c r="A506" s="77" t="s">
        <v>4014</v>
      </c>
    </row>
    <row r="507">
      <c r="A507" s="77" t="s">
        <v>4014</v>
      </c>
    </row>
    <row r="508">
      <c r="A508" s="77" t="s">
        <v>4014</v>
      </c>
    </row>
    <row r="509">
      <c r="A509" s="77" t="s">
        <v>4014</v>
      </c>
    </row>
    <row r="510">
      <c r="A510" s="77" t="s">
        <v>4014</v>
      </c>
    </row>
    <row r="511">
      <c r="A511" s="77" t="s">
        <v>4014</v>
      </c>
    </row>
    <row r="512">
      <c r="A512" s="77" t="s">
        <v>4014</v>
      </c>
    </row>
    <row r="513">
      <c r="A513" s="77" t="s">
        <v>4014</v>
      </c>
    </row>
    <row r="514">
      <c r="A514" s="77" t="s">
        <v>4014</v>
      </c>
    </row>
    <row r="515">
      <c r="A515" s="77" t="s">
        <v>4014</v>
      </c>
    </row>
    <row r="516">
      <c r="A516" s="77" t="s">
        <v>4014</v>
      </c>
    </row>
    <row r="517">
      <c r="A517" s="77" t="s">
        <v>4014</v>
      </c>
    </row>
    <row r="518">
      <c r="A518" s="77" t="s">
        <v>4014</v>
      </c>
    </row>
    <row r="519">
      <c r="A519" s="77" t="s">
        <v>4014</v>
      </c>
    </row>
    <row r="520">
      <c r="A520" s="77" t="s">
        <v>4014</v>
      </c>
    </row>
    <row r="521">
      <c r="A521" s="77" t="s">
        <v>4014</v>
      </c>
    </row>
    <row r="522">
      <c r="A522" s="77" t="s">
        <v>4014</v>
      </c>
    </row>
    <row r="523">
      <c r="A523" s="77" t="s">
        <v>4014</v>
      </c>
    </row>
    <row r="524">
      <c r="A524" s="77" t="s">
        <v>4014</v>
      </c>
    </row>
    <row r="525">
      <c r="A525" s="77" t="s">
        <v>4014</v>
      </c>
    </row>
    <row r="526">
      <c r="A526" s="77" t="s">
        <v>4014</v>
      </c>
    </row>
    <row r="527">
      <c r="A527" s="77" t="s">
        <v>4014</v>
      </c>
    </row>
    <row r="528">
      <c r="A528" s="77" t="s">
        <v>4014</v>
      </c>
    </row>
    <row r="529">
      <c r="A529" s="77" t="s">
        <v>4014</v>
      </c>
    </row>
    <row r="530">
      <c r="A530" s="77" t="s">
        <v>4014</v>
      </c>
    </row>
    <row r="531">
      <c r="A531" s="77" t="s">
        <v>4014</v>
      </c>
    </row>
    <row r="532">
      <c r="A532" s="77" t="s">
        <v>4014</v>
      </c>
    </row>
    <row r="533">
      <c r="A533" s="77" t="s">
        <v>4014</v>
      </c>
    </row>
    <row r="534">
      <c r="A534" s="77" t="s">
        <v>4014</v>
      </c>
    </row>
    <row r="535">
      <c r="A535" s="77" t="s">
        <v>4014</v>
      </c>
    </row>
    <row r="536">
      <c r="A536" s="77" t="s">
        <v>4014</v>
      </c>
    </row>
    <row r="537">
      <c r="A537" s="77" t="s">
        <v>4014</v>
      </c>
    </row>
    <row r="538">
      <c r="A538" s="77" t="s">
        <v>4014</v>
      </c>
    </row>
    <row r="539">
      <c r="A539" s="77" t="s">
        <v>4014</v>
      </c>
    </row>
    <row r="540">
      <c r="A540" s="77" t="s">
        <v>4014</v>
      </c>
    </row>
    <row r="541">
      <c r="A541" s="77" t="s">
        <v>4014</v>
      </c>
    </row>
    <row r="542">
      <c r="A542" s="77" t="s">
        <v>4014</v>
      </c>
    </row>
    <row r="543">
      <c r="A543" s="77" t="s">
        <v>4014</v>
      </c>
    </row>
    <row r="544">
      <c r="A544" s="77" t="s">
        <v>4014</v>
      </c>
    </row>
    <row r="545">
      <c r="A545" s="77" t="s">
        <v>4014</v>
      </c>
    </row>
    <row r="546">
      <c r="A546" s="77" t="s">
        <v>4014</v>
      </c>
    </row>
    <row r="547">
      <c r="A547" s="77" t="s">
        <v>4014</v>
      </c>
    </row>
    <row r="548">
      <c r="A548" s="77" t="s">
        <v>4014</v>
      </c>
    </row>
    <row r="549">
      <c r="A549" s="77" t="s">
        <v>4014</v>
      </c>
    </row>
    <row r="550">
      <c r="A550" s="77" t="s">
        <v>4014</v>
      </c>
    </row>
    <row r="551">
      <c r="A551" s="77" t="s">
        <v>4014</v>
      </c>
    </row>
    <row r="552">
      <c r="A552" s="77" t="s">
        <v>4014</v>
      </c>
    </row>
    <row r="553">
      <c r="A553" s="77" t="s">
        <v>4014</v>
      </c>
    </row>
    <row r="554">
      <c r="A554" s="77" t="s">
        <v>4014</v>
      </c>
    </row>
    <row r="555">
      <c r="A555" s="77" t="s">
        <v>4014</v>
      </c>
    </row>
    <row r="556">
      <c r="A556" s="77" t="s">
        <v>4014</v>
      </c>
    </row>
    <row r="557">
      <c r="A557" s="77" t="s">
        <v>4014</v>
      </c>
    </row>
    <row r="558">
      <c r="A558" s="77" t="s">
        <v>4014</v>
      </c>
    </row>
    <row r="559">
      <c r="A559" s="77" t="s">
        <v>4014</v>
      </c>
    </row>
    <row r="560">
      <c r="A560" s="77" t="s">
        <v>4014</v>
      </c>
    </row>
    <row r="561">
      <c r="A561" s="77" t="s">
        <v>4014</v>
      </c>
    </row>
    <row r="562">
      <c r="A562" s="77" t="s">
        <v>4014</v>
      </c>
    </row>
    <row r="563">
      <c r="A563" s="77" t="s">
        <v>4014</v>
      </c>
    </row>
    <row r="564">
      <c r="A564" s="77" t="s">
        <v>4014</v>
      </c>
    </row>
    <row r="565">
      <c r="A565" s="77" t="s">
        <v>4014</v>
      </c>
    </row>
    <row r="566">
      <c r="A566" s="77" t="s">
        <v>4014</v>
      </c>
    </row>
    <row r="567">
      <c r="A567" s="77" t="s">
        <v>4014</v>
      </c>
    </row>
    <row r="568">
      <c r="A568" s="77" t="s">
        <v>4014</v>
      </c>
    </row>
    <row r="569">
      <c r="A569" s="77" t="s">
        <v>4014</v>
      </c>
    </row>
    <row r="570">
      <c r="A570" s="77" t="s">
        <v>4014</v>
      </c>
    </row>
    <row r="571">
      <c r="A571" s="77" t="s">
        <v>4014</v>
      </c>
    </row>
    <row r="572">
      <c r="A572" s="77" t="s">
        <v>4014</v>
      </c>
    </row>
    <row r="573">
      <c r="A573" s="77" t="s">
        <v>4014</v>
      </c>
    </row>
    <row r="574">
      <c r="A574" s="77" t="s">
        <v>4014</v>
      </c>
    </row>
    <row r="575">
      <c r="A575" s="77" t="s">
        <v>4014</v>
      </c>
    </row>
    <row r="576">
      <c r="A576" s="77" t="s">
        <v>4014</v>
      </c>
    </row>
    <row r="577">
      <c r="A577" s="77" t="s">
        <v>4014</v>
      </c>
    </row>
    <row r="578">
      <c r="A578" s="77" t="s">
        <v>4014</v>
      </c>
    </row>
    <row r="579">
      <c r="A579" s="77" t="s">
        <v>4014</v>
      </c>
    </row>
    <row r="580">
      <c r="A580" s="77" t="s">
        <v>4014</v>
      </c>
    </row>
    <row r="581">
      <c r="A581" s="77" t="s">
        <v>4014</v>
      </c>
    </row>
    <row r="582">
      <c r="A582" s="77" t="s">
        <v>4014</v>
      </c>
    </row>
    <row r="583">
      <c r="A583" s="77" t="s">
        <v>4014</v>
      </c>
    </row>
    <row r="584">
      <c r="A584" s="77" t="s">
        <v>4014</v>
      </c>
    </row>
    <row r="585">
      <c r="A585" s="77" t="s">
        <v>4014</v>
      </c>
    </row>
    <row r="586">
      <c r="A586" s="77" t="s">
        <v>4014</v>
      </c>
    </row>
    <row r="587">
      <c r="A587" s="77" t="s">
        <v>4014</v>
      </c>
    </row>
    <row r="588">
      <c r="A588" s="77" t="s">
        <v>4014</v>
      </c>
    </row>
    <row r="589">
      <c r="A589" s="77" t="s">
        <v>4014</v>
      </c>
    </row>
    <row r="590">
      <c r="A590" s="77" t="s">
        <v>4014</v>
      </c>
    </row>
    <row r="591">
      <c r="A591" s="77" t="s">
        <v>4014</v>
      </c>
    </row>
    <row r="592">
      <c r="A592" s="77" t="s">
        <v>4014</v>
      </c>
    </row>
    <row r="593">
      <c r="A593" s="77" t="s">
        <v>4014</v>
      </c>
    </row>
    <row r="594">
      <c r="A594" s="77" t="s">
        <v>4014</v>
      </c>
    </row>
    <row r="595">
      <c r="A595" s="77" t="s">
        <v>4014</v>
      </c>
    </row>
    <row r="596">
      <c r="A596" s="77" t="s">
        <v>4014</v>
      </c>
    </row>
    <row r="597">
      <c r="A597" s="77" t="s">
        <v>4014</v>
      </c>
    </row>
    <row r="598">
      <c r="A598" s="77" t="s">
        <v>4014</v>
      </c>
    </row>
    <row r="599">
      <c r="A599" s="77" t="s">
        <v>4014</v>
      </c>
    </row>
    <row r="600">
      <c r="A600" s="77" t="s">
        <v>4014</v>
      </c>
    </row>
    <row r="601">
      <c r="A601" s="77" t="s">
        <v>4014</v>
      </c>
    </row>
    <row r="602">
      <c r="A602" s="77" t="s">
        <v>4014</v>
      </c>
    </row>
    <row r="603">
      <c r="A603" s="77" t="s">
        <v>4014</v>
      </c>
    </row>
    <row r="604">
      <c r="A604" s="77" t="s">
        <v>4014</v>
      </c>
    </row>
    <row r="605">
      <c r="A605" s="77" t="s">
        <v>4014</v>
      </c>
    </row>
    <row r="606">
      <c r="A606" s="77" t="s">
        <v>4014</v>
      </c>
    </row>
    <row r="607">
      <c r="A607" s="77" t="s">
        <v>4014</v>
      </c>
    </row>
    <row r="608">
      <c r="A608" s="77" t="s">
        <v>4014</v>
      </c>
    </row>
    <row r="609">
      <c r="A609" s="77" t="s">
        <v>4014</v>
      </c>
    </row>
    <row r="610">
      <c r="A610" s="77" t="s">
        <v>4014</v>
      </c>
    </row>
    <row r="611">
      <c r="A611" s="77" t="s">
        <v>4014</v>
      </c>
    </row>
    <row r="612">
      <c r="A612" s="77" t="s">
        <v>4014</v>
      </c>
    </row>
    <row r="613">
      <c r="A613" s="77" t="s">
        <v>4014</v>
      </c>
    </row>
    <row r="614">
      <c r="A614" s="77" t="s">
        <v>4014</v>
      </c>
    </row>
    <row r="615">
      <c r="A615" s="77" t="s">
        <v>4014</v>
      </c>
    </row>
    <row r="616">
      <c r="A616" s="77" t="s">
        <v>4014</v>
      </c>
    </row>
    <row r="617">
      <c r="A617" s="77" t="s">
        <v>4014</v>
      </c>
    </row>
    <row r="618">
      <c r="A618" s="77" t="s">
        <v>4014</v>
      </c>
    </row>
    <row r="619">
      <c r="A619" s="77" t="s">
        <v>4014</v>
      </c>
    </row>
    <row r="620">
      <c r="A620" s="77" t="s">
        <v>4014</v>
      </c>
    </row>
    <row r="621">
      <c r="A621" s="77" t="s">
        <v>4014</v>
      </c>
    </row>
    <row r="622">
      <c r="A622" s="77" t="s">
        <v>4014</v>
      </c>
    </row>
    <row r="623">
      <c r="A623" s="77" t="s">
        <v>4014</v>
      </c>
    </row>
    <row r="624">
      <c r="A624" s="77" t="s">
        <v>4014</v>
      </c>
    </row>
    <row r="625">
      <c r="A625" s="77" t="s">
        <v>4014</v>
      </c>
    </row>
    <row r="626">
      <c r="A626" s="77" t="s">
        <v>4014</v>
      </c>
    </row>
    <row r="627">
      <c r="A627" s="77" t="s">
        <v>4014</v>
      </c>
    </row>
    <row r="628">
      <c r="A628" s="77" t="s">
        <v>4014</v>
      </c>
    </row>
    <row r="629">
      <c r="A629" s="77" t="s">
        <v>4014</v>
      </c>
    </row>
    <row r="630">
      <c r="A630" s="77" t="s">
        <v>4014</v>
      </c>
    </row>
    <row r="631">
      <c r="A631" s="77" t="s">
        <v>4014</v>
      </c>
    </row>
    <row r="632">
      <c r="A632" s="77" t="s">
        <v>4014</v>
      </c>
    </row>
    <row r="633">
      <c r="A633" s="77" t="s">
        <v>4014</v>
      </c>
    </row>
    <row r="634">
      <c r="A634" s="77" t="s">
        <v>4014</v>
      </c>
    </row>
    <row r="635">
      <c r="A635" s="77" t="s">
        <v>4014</v>
      </c>
    </row>
    <row r="636">
      <c r="A636" s="77" t="s">
        <v>4014</v>
      </c>
    </row>
    <row r="637">
      <c r="A637" s="77" t="s">
        <v>4014</v>
      </c>
    </row>
    <row r="638">
      <c r="A638" s="77" t="s">
        <v>4014</v>
      </c>
    </row>
    <row r="639">
      <c r="A639" s="77" t="s">
        <v>4014</v>
      </c>
    </row>
    <row r="640">
      <c r="A640" s="77" t="s">
        <v>4014</v>
      </c>
    </row>
    <row r="641">
      <c r="A641" s="77" t="s">
        <v>4014</v>
      </c>
    </row>
    <row r="642">
      <c r="A642" s="77" t="s">
        <v>4014</v>
      </c>
    </row>
    <row r="643">
      <c r="A643" s="77" t="s">
        <v>4014</v>
      </c>
    </row>
    <row r="644">
      <c r="A644" s="77" t="s">
        <v>4014</v>
      </c>
    </row>
    <row r="645">
      <c r="A645" s="77" t="s">
        <v>4014</v>
      </c>
    </row>
    <row r="646">
      <c r="A646" s="77" t="s">
        <v>4014</v>
      </c>
    </row>
    <row r="647">
      <c r="A647" s="77" t="s">
        <v>4014</v>
      </c>
    </row>
    <row r="648">
      <c r="A648" s="77" t="s">
        <v>4014</v>
      </c>
    </row>
    <row r="649">
      <c r="A649" s="77" t="s">
        <v>4014</v>
      </c>
    </row>
    <row r="650">
      <c r="A650" s="77" t="s">
        <v>4014</v>
      </c>
    </row>
    <row r="651">
      <c r="A651" s="77" t="s">
        <v>4014</v>
      </c>
    </row>
    <row r="652">
      <c r="A652" s="77" t="s">
        <v>4014</v>
      </c>
    </row>
    <row r="653">
      <c r="A653" s="77" t="s">
        <v>4014</v>
      </c>
    </row>
    <row r="654">
      <c r="A654" s="77" t="s">
        <v>4014</v>
      </c>
    </row>
    <row r="655">
      <c r="A655" s="77" t="s">
        <v>4014</v>
      </c>
    </row>
    <row r="656">
      <c r="A656" s="77" t="s">
        <v>4014</v>
      </c>
    </row>
    <row r="657">
      <c r="A657" s="77" t="s">
        <v>4014</v>
      </c>
    </row>
    <row r="658">
      <c r="A658" s="77" t="s">
        <v>4014</v>
      </c>
    </row>
    <row r="659">
      <c r="A659" s="77" t="s">
        <v>4014</v>
      </c>
    </row>
    <row r="660">
      <c r="A660" s="77" t="s">
        <v>4014</v>
      </c>
    </row>
    <row r="661">
      <c r="A661" s="77" t="s">
        <v>4014</v>
      </c>
    </row>
    <row r="662">
      <c r="A662" s="77" t="s">
        <v>4014</v>
      </c>
    </row>
    <row r="663">
      <c r="A663" s="77" t="s">
        <v>4014</v>
      </c>
    </row>
    <row r="664">
      <c r="A664" s="77" t="s">
        <v>4014</v>
      </c>
    </row>
    <row r="665">
      <c r="A665" s="77" t="s">
        <v>4014</v>
      </c>
    </row>
    <row r="666">
      <c r="A666" s="77" t="s">
        <v>4014</v>
      </c>
    </row>
    <row r="667">
      <c r="A667" s="77" t="s">
        <v>4014</v>
      </c>
    </row>
    <row r="668">
      <c r="A668" s="77" t="s">
        <v>4014</v>
      </c>
    </row>
    <row r="669">
      <c r="A669" s="77" t="s">
        <v>4014</v>
      </c>
    </row>
    <row r="670">
      <c r="A670" s="77" t="s">
        <v>4014</v>
      </c>
    </row>
    <row r="671">
      <c r="A671" s="77" t="s">
        <v>4014</v>
      </c>
    </row>
    <row r="672">
      <c r="A672" s="77" t="s">
        <v>4014</v>
      </c>
    </row>
    <row r="673">
      <c r="A673" s="77" t="s">
        <v>4014</v>
      </c>
    </row>
    <row r="674">
      <c r="A674" s="77" t="s">
        <v>4014</v>
      </c>
    </row>
    <row r="675">
      <c r="A675" s="77" t="s">
        <v>4014</v>
      </c>
    </row>
    <row r="676">
      <c r="A676" s="77" t="s">
        <v>4014</v>
      </c>
    </row>
    <row r="677">
      <c r="A677" s="77" t="s">
        <v>4014</v>
      </c>
    </row>
    <row r="678">
      <c r="A678" s="77" t="s">
        <v>4014</v>
      </c>
    </row>
    <row r="679">
      <c r="A679" s="77" t="s">
        <v>4014</v>
      </c>
    </row>
    <row r="680">
      <c r="A680" s="77" t="s">
        <v>4014</v>
      </c>
    </row>
    <row r="681">
      <c r="A681" s="77" t="s">
        <v>4014</v>
      </c>
    </row>
    <row r="682">
      <c r="A682" s="77" t="s">
        <v>4014</v>
      </c>
    </row>
    <row r="683">
      <c r="A683" s="77" t="s">
        <v>4014</v>
      </c>
    </row>
    <row r="684">
      <c r="A684" s="77" t="s">
        <v>4014</v>
      </c>
    </row>
    <row r="685">
      <c r="A685" s="77" t="s">
        <v>4014</v>
      </c>
    </row>
    <row r="686">
      <c r="A686" s="77" t="s">
        <v>4014</v>
      </c>
    </row>
    <row r="687">
      <c r="A687" s="77" t="s">
        <v>4014</v>
      </c>
    </row>
    <row r="688">
      <c r="A688" s="77" t="s">
        <v>4014</v>
      </c>
    </row>
    <row r="689">
      <c r="A689" s="77" t="s">
        <v>4014</v>
      </c>
    </row>
    <row r="690">
      <c r="A690" s="77" t="s">
        <v>4014</v>
      </c>
    </row>
    <row r="691">
      <c r="A691" s="77" t="s">
        <v>4014</v>
      </c>
    </row>
    <row r="692">
      <c r="A692" s="77" t="s">
        <v>4014</v>
      </c>
    </row>
    <row r="693">
      <c r="A693" s="77" t="s">
        <v>4014</v>
      </c>
    </row>
    <row r="694">
      <c r="A694" s="77" t="s">
        <v>4014</v>
      </c>
    </row>
    <row r="695">
      <c r="A695" s="77" t="s">
        <v>4014</v>
      </c>
    </row>
    <row r="696">
      <c r="A696" s="77" t="s">
        <v>4014</v>
      </c>
    </row>
    <row r="697">
      <c r="A697" s="77" t="s">
        <v>4014</v>
      </c>
    </row>
    <row r="698">
      <c r="A698" s="77" t="s">
        <v>4014</v>
      </c>
    </row>
    <row r="699">
      <c r="A699" s="77" t="s">
        <v>4014</v>
      </c>
    </row>
    <row r="700">
      <c r="A700" s="77" t="s">
        <v>4014</v>
      </c>
    </row>
    <row r="701">
      <c r="A701" s="77" t="s">
        <v>4014</v>
      </c>
    </row>
    <row r="702">
      <c r="A702" s="77" t="s">
        <v>4014</v>
      </c>
    </row>
    <row r="703">
      <c r="A703" s="77" t="s">
        <v>4014</v>
      </c>
    </row>
    <row r="704">
      <c r="A704" s="77" t="s">
        <v>4014</v>
      </c>
    </row>
    <row r="705">
      <c r="A705" s="77" t="s">
        <v>4014</v>
      </c>
    </row>
    <row r="706">
      <c r="A706" s="77" t="s">
        <v>4014</v>
      </c>
    </row>
    <row r="707">
      <c r="A707" s="77" t="s">
        <v>4014</v>
      </c>
    </row>
    <row r="708">
      <c r="A708" s="77" t="s">
        <v>4014</v>
      </c>
    </row>
    <row r="709">
      <c r="A709" s="77" t="s">
        <v>4014</v>
      </c>
    </row>
    <row r="710">
      <c r="A710" s="77" t="s">
        <v>4014</v>
      </c>
    </row>
    <row r="711">
      <c r="A711" s="77" t="s">
        <v>4014</v>
      </c>
    </row>
    <row r="712">
      <c r="A712" s="77" t="s">
        <v>4014</v>
      </c>
    </row>
    <row r="713">
      <c r="A713" s="77" t="s">
        <v>4014</v>
      </c>
    </row>
    <row r="714">
      <c r="A714" s="77" t="s">
        <v>4014</v>
      </c>
    </row>
    <row r="715">
      <c r="A715" s="77" t="s">
        <v>4014</v>
      </c>
    </row>
    <row r="716">
      <c r="A716" s="77" t="s">
        <v>4014</v>
      </c>
    </row>
    <row r="717">
      <c r="A717" s="77" t="s">
        <v>4014</v>
      </c>
    </row>
    <row r="718">
      <c r="A718" s="77" t="s">
        <v>4014</v>
      </c>
    </row>
    <row r="719">
      <c r="A719" s="77" t="s">
        <v>4014</v>
      </c>
    </row>
    <row r="720">
      <c r="A720" s="77" t="s">
        <v>4014</v>
      </c>
    </row>
    <row r="721">
      <c r="A721" s="77" t="s">
        <v>4014</v>
      </c>
    </row>
    <row r="722">
      <c r="A722" s="77" t="s">
        <v>4014</v>
      </c>
    </row>
    <row r="723">
      <c r="A723" s="77" t="s">
        <v>4014</v>
      </c>
    </row>
    <row r="724">
      <c r="A724" s="77" t="s">
        <v>4014</v>
      </c>
    </row>
    <row r="725">
      <c r="A725" s="77" t="s">
        <v>4014</v>
      </c>
    </row>
    <row r="726">
      <c r="A726" s="77" t="s">
        <v>4014</v>
      </c>
    </row>
    <row r="727">
      <c r="A727" s="77" t="s">
        <v>4014</v>
      </c>
    </row>
    <row r="728">
      <c r="A728" s="77" t="s">
        <v>4014</v>
      </c>
    </row>
    <row r="729">
      <c r="A729" s="77" t="s">
        <v>4014</v>
      </c>
    </row>
    <row r="730">
      <c r="A730" s="77" t="s">
        <v>4014</v>
      </c>
    </row>
    <row r="731">
      <c r="A731" s="77" t="s">
        <v>4014</v>
      </c>
    </row>
    <row r="732">
      <c r="A732" s="77" t="s">
        <v>4014</v>
      </c>
    </row>
    <row r="733">
      <c r="A733" s="77" t="s">
        <v>4014</v>
      </c>
    </row>
    <row r="734">
      <c r="A734" s="77" t="s">
        <v>4014</v>
      </c>
    </row>
    <row r="735">
      <c r="A735" s="77" t="s">
        <v>4014</v>
      </c>
    </row>
    <row r="736">
      <c r="A736" s="77" t="s">
        <v>4014</v>
      </c>
    </row>
    <row r="737">
      <c r="A737" s="77" t="s">
        <v>4014</v>
      </c>
    </row>
    <row r="738">
      <c r="A738" s="77" t="s">
        <v>4014</v>
      </c>
    </row>
    <row r="739">
      <c r="A739" s="77" t="s">
        <v>4014</v>
      </c>
    </row>
    <row r="740">
      <c r="A740" s="77" t="s">
        <v>4014</v>
      </c>
    </row>
    <row r="741">
      <c r="A741" s="77" t="s">
        <v>4014</v>
      </c>
    </row>
    <row r="742">
      <c r="A742" s="77" t="s">
        <v>4014</v>
      </c>
    </row>
    <row r="743">
      <c r="A743" s="77" t="s">
        <v>4014</v>
      </c>
    </row>
    <row r="744">
      <c r="A744" s="77" t="s">
        <v>4014</v>
      </c>
    </row>
    <row r="745">
      <c r="A745" s="77" t="s">
        <v>4014</v>
      </c>
    </row>
    <row r="746">
      <c r="A746" s="77" t="s">
        <v>4014</v>
      </c>
    </row>
    <row r="747">
      <c r="A747" s="77" t="s">
        <v>4014</v>
      </c>
    </row>
    <row r="748">
      <c r="A748" s="77" t="s">
        <v>4014</v>
      </c>
    </row>
    <row r="749">
      <c r="A749" s="77" t="s">
        <v>4014</v>
      </c>
    </row>
    <row r="750">
      <c r="A750" s="77" t="s">
        <v>4014</v>
      </c>
    </row>
    <row r="751">
      <c r="A751" s="77" t="s">
        <v>4014</v>
      </c>
    </row>
    <row r="752">
      <c r="A752" s="77" t="s">
        <v>4014</v>
      </c>
    </row>
    <row r="753">
      <c r="A753" s="77" t="s">
        <v>4014</v>
      </c>
    </row>
    <row r="754">
      <c r="A754" s="77" t="s">
        <v>4014</v>
      </c>
    </row>
    <row r="755">
      <c r="A755" s="77" t="s">
        <v>4014</v>
      </c>
    </row>
    <row r="756">
      <c r="A756" s="77" t="s">
        <v>4014</v>
      </c>
    </row>
    <row r="757">
      <c r="A757" s="77" t="s">
        <v>4014</v>
      </c>
    </row>
    <row r="758">
      <c r="A758" s="77" t="s">
        <v>4014</v>
      </c>
    </row>
    <row r="759">
      <c r="A759" s="77" t="s">
        <v>4014</v>
      </c>
    </row>
    <row r="760">
      <c r="A760" s="77" t="s">
        <v>4014</v>
      </c>
    </row>
    <row r="761">
      <c r="A761" s="77" t="s">
        <v>4014</v>
      </c>
    </row>
    <row r="762">
      <c r="A762" s="77" t="s">
        <v>4014</v>
      </c>
    </row>
    <row r="763">
      <c r="A763" s="77" t="s">
        <v>4014</v>
      </c>
    </row>
    <row r="764">
      <c r="A764" s="77" t="s">
        <v>4014</v>
      </c>
    </row>
    <row r="765">
      <c r="A765" s="77" t="s">
        <v>4014</v>
      </c>
    </row>
    <row r="766">
      <c r="A766" s="77" t="s">
        <v>4014</v>
      </c>
    </row>
    <row r="767">
      <c r="A767" s="77" t="s">
        <v>4014</v>
      </c>
    </row>
    <row r="768">
      <c r="A768" s="77" t="s">
        <v>4014</v>
      </c>
    </row>
    <row r="769">
      <c r="A769" s="77" t="s">
        <v>4014</v>
      </c>
    </row>
    <row r="770">
      <c r="A770" s="77" t="s">
        <v>4014</v>
      </c>
    </row>
    <row r="771">
      <c r="A771" s="77" t="s">
        <v>4014</v>
      </c>
    </row>
    <row r="772">
      <c r="A772" s="77" t="s">
        <v>4014</v>
      </c>
    </row>
    <row r="773">
      <c r="A773" s="77" t="s">
        <v>4014</v>
      </c>
    </row>
    <row r="774">
      <c r="A774" s="77" t="s">
        <v>4014</v>
      </c>
    </row>
    <row r="775">
      <c r="A775" s="77" t="s">
        <v>4014</v>
      </c>
    </row>
    <row r="776">
      <c r="A776" s="77" t="s">
        <v>4014</v>
      </c>
    </row>
    <row r="777">
      <c r="A777" s="77" t="s">
        <v>4014</v>
      </c>
    </row>
    <row r="778">
      <c r="A778" s="77" t="s">
        <v>4014</v>
      </c>
    </row>
    <row r="779">
      <c r="A779" s="77" t="s">
        <v>4014</v>
      </c>
    </row>
    <row r="780">
      <c r="A780" s="77" t="s">
        <v>4014</v>
      </c>
    </row>
    <row r="781">
      <c r="A781" s="77" t="s">
        <v>4014</v>
      </c>
    </row>
    <row r="782">
      <c r="A782" s="77" t="s">
        <v>4014</v>
      </c>
    </row>
    <row r="783">
      <c r="A783" s="77" t="s">
        <v>4014</v>
      </c>
    </row>
    <row r="784">
      <c r="A784" s="77" t="s">
        <v>4014</v>
      </c>
    </row>
    <row r="785">
      <c r="A785" s="77" t="s">
        <v>4014</v>
      </c>
    </row>
    <row r="786">
      <c r="A786" s="77" t="s">
        <v>4014</v>
      </c>
    </row>
    <row r="787">
      <c r="A787" s="77" t="s">
        <v>4014</v>
      </c>
    </row>
    <row r="788">
      <c r="A788" s="77" t="s">
        <v>4014</v>
      </c>
    </row>
    <row r="789">
      <c r="A789" s="77" t="s">
        <v>4014</v>
      </c>
    </row>
    <row r="790">
      <c r="A790" s="77" t="s">
        <v>4014</v>
      </c>
    </row>
    <row r="791">
      <c r="A791" s="77" t="s">
        <v>4014</v>
      </c>
    </row>
    <row r="792">
      <c r="A792" s="77" t="s">
        <v>4014</v>
      </c>
    </row>
    <row r="793">
      <c r="A793" s="77" t="s">
        <v>4014</v>
      </c>
    </row>
    <row r="794">
      <c r="A794" s="77" t="s">
        <v>4014</v>
      </c>
    </row>
    <row r="795">
      <c r="A795" s="77" t="s">
        <v>4014</v>
      </c>
    </row>
    <row r="796">
      <c r="A796" s="77" t="s">
        <v>4014</v>
      </c>
    </row>
    <row r="797">
      <c r="A797" s="77" t="s">
        <v>4014</v>
      </c>
    </row>
    <row r="798">
      <c r="A798" s="77" t="s">
        <v>4014</v>
      </c>
    </row>
    <row r="799">
      <c r="A799" s="77" t="s">
        <v>4014</v>
      </c>
    </row>
    <row r="800">
      <c r="A800" s="77" t="s">
        <v>4014</v>
      </c>
    </row>
    <row r="801">
      <c r="A801" s="77" t="s">
        <v>4014</v>
      </c>
    </row>
    <row r="802">
      <c r="A802" s="77" t="s">
        <v>4014</v>
      </c>
    </row>
    <row r="803">
      <c r="A803" s="77" t="s">
        <v>4014</v>
      </c>
    </row>
    <row r="804">
      <c r="A804" s="77" t="s">
        <v>4014</v>
      </c>
    </row>
    <row r="805">
      <c r="A805" s="77" t="s">
        <v>4014</v>
      </c>
    </row>
    <row r="806">
      <c r="A806" s="77" t="s">
        <v>4014</v>
      </c>
    </row>
    <row r="807">
      <c r="A807" s="77" t="s">
        <v>4014</v>
      </c>
    </row>
    <row r="808">
      <c r="A808" s="77" t="s">
        <v>4014</v>
      </c>
    </row>
    <row r="809">
      <c r="A809" s="77" t="s">
        <v>4014</v>
      </c>
    </row>
    <row r="810">
      <c r="A810" s="77" t="s">
        <v>4014</v>
      </c>
    </row>
    <row r="811">
      <c r="A811" s="77" t="s">
        <v>4014</v>
      </c>
    </row>
    <row r="812">
      <c r="A812" s="77" t="s">
        <v>4014</v>
      </c>
    </row>
    <row r="813">
      <c r="A813" s="77" t="s">
        <v>4014</v>
      </c>
    </row>
    <row r="814">
      <c r="A814" s="77" t="s">
        <v>4014</v>
      </c>
    </row>
    <row r="815">
      <c r="A815" s="77" t="s">
        <v>4014</v>
      </c>
    </row>
    <row r="816">
      <c r="A816" s="77" t="s">
        <v>4014</v>
      </c>
    </row>
    <row r="817">
      <c r="A817" s="77" t="s">
        <v>4014</v>
      </c>
    </row>
    <row r="818">
      <c r="A818" s="77" t="s">
        <v>4014</v>
      </c>
    </row>
    <row r="819">
      <c r="A819" s="77" t="s">
        <v>4014</v>
      </c>
    </row>
    <row r="820">
      <c r="A820" s="77" t="s">
        <v>4014</v>
      </c>
    </row>
    <row r="821">
      <c r="A821" s="77" t="s">
        <v>4014</v>
      </c>
    </row>
    <row r="822">
      <c r="A822" s="77" t="s">
        <v>4014</v>
      </c>
    </row>
    <row r="823">
      <c r="A823" s="77" t="s">
        <v>4014</v>
      </c>
    </row>
    <row r="824">
      <c r="A824" s="77" t="s">
        <v>4014</v>
      </c>
    </row>
    <row r="825">
      <c r="A825" s="77" t="s">
        <v>4014</v>
      </c>
    </row>
    <row r="826">
      <c r="A826" s="77" t="s">
        <v>4014</v>
      </c>
    </row>
    <row r="827">
      <c r="A827" s="77" t="s">
        <v>4014</v>
      </c>
    </row>
    <row r="828">
      <c r="A828" s="77" t="s">
        <v>4014</v>
      </c>
    </row>
    <row r="829">
      <c r="A829" s="77" t="s">
        <v>4014</v>
      </c>
    </row>
    <row r="830">
      <c r="A830" s="77" t="s">
        <v>4014</v>
      </c>
    </row>
    <row r="831">
      <c r="A831" s="77" t="s">
        <v>4014</v>
      </c>
    </row>
    <row r="832">
      <c r="A832" s="77" t="s">
        <v>4014</v>
      </c>
    </row>
    <row r="833">
      <c r="A833" s="77" t="s">
        <v>4014</v>
      </c>
    </row>
    <row r="834">
      <c r="A834" s="77" t="s">
        <v>4014</v>
      </c>
    </row>
    <row r="835">
      <c r="A835" s="77" t="s">
        <v>4014</v>
      </c>
    </row>
    <row r="836">
      <c r="A836" s="77" t="s">
        <v>4014</v>
      </c>
    </row>
    <row r="837">
      <c r="A837" s="77" t="s">
        <v>4014</v>
      </c>
    </row>
    <row r="838">
      <c r="A838" s="77" t="s">
        <v>4014</v>
      </c>
    </row>
    <row r="839">
      <c r="A839" s="77" t="s">
        <v>4014</v>
      </c>
    </row>
    <row r="840">
      <c r="A840" s="77" t="s">
        <v>4014</v>
      </c>
    </row>
    <row r="841">
      <c r="A841" s="77" t="s">
        <v>4014</v>
      </c>
    </row>
    <row r="842">
      <c r="A842" s="77" t="s">
        <v>4014</v>
      </c>
    </row>
    <row r="843">
      <c r="A843" s="77" t="s">
        <v>4014</v>
      </c>
    </row>
    <row r="844">
      <c r="A844" s="77" t="s">
        <v>4014</v>
      </c>
    </row>
    <row r="845">
      <c r="A845" s="77" t="s">
        <v>4014</v>
      </c>
    </row>
    <row r="846">
      <c r="A846" s="77" t="s">
        <v>4014</v>
      </c>
    </row>
    <row r="847">
      <c r="A847" s="77" t="s">
        <v>4014</v>
      </c>
    </row>
    <row r="848">
      <c r="A848" s="77" t="s">
        <v>4014</v>
      </c>
    </row>
    <row r="849">
      <c r="A849" s="77" t="s">
        <v>4014</v>
      </c>
    </row>
    <row r="850">
      <c r="A850" s="77" t="s">
        <v>4014</v>
      </c>
    </row>
    <row r="851">
      <c r="A851" s="77" t="s">
        <v>4014</v>
      </c>
    </row>
    <row r="852">
      <c r="A852" s="77" t="s">
        <v>4014</v>
      </c>
    </row>
    <row r="853">
      <c r="A853" s="77" t="s">
        <v>4014</v>
      </c>
    </row>
    <row r="854">
      <c r="A854" s="77" t="s">
        <v>4014</v>
      </c>
    </row>
    <row r="855">
      <c r="A855" s="77" t="s">
        <v>4014</v>
      </c>
    </row>
    <row r="856">
      <c r="A856" s="77" t="s">
        <v>4014</v>
      </c>
    </row>
    <row r="857">
      <c r="A857" s="77" t="s">
        <v>4014</v>
      </c>
    </row>
    <row r="858">
      <c r="A858" s="77" t="s">
        <v>4014</v>
      </c>
    </row>
    <row r="859">
      <c r="A859" s="77" t="s">
        <v>4014</v>
      </c>
    </row>
    <row r="860">
      <c r="A860" s="77" t="s">
        <v>4014</v>
      </c>
    </row>
    <row r="861">
      <c r="A861" s="77" t="s">
        <v>4014</v>
      </c>
    </row>
    <row r="862">
      <c r="A862" s="77" t="s">
        <v>4014</v>
      </c>
    </row>
    <row r="863">
      <c r="A863" s="77" t="s">
        <v>4014</v>
      </c>
    </row>
    <row r="864">
      <c r="A864" s="77" t="s">
        <v>4014</v>
      </c>
    </row>
    <row r="865">
      <c r="A865" s="77" t="s">
        <v>4014</v>
      </c>
    </row>
    <row r="866">
      <c r="A866" s="77" t="s">
        <v>4014</v>
      </c>
    </row>
    <row r="867">
      <c r="A867" s="77" t="s">
        <v>4014</v>
      </c>
    </row>
    <row r="868">
      <c r="A868" s="77" t="s">
        <v>4014</v>
      </c>
    </row>
    <row r="869">
      <c r="A869" s="77" t="s">
        <v>4014</v>
      </c>
    </row>
    <row r="870">
      <c r="A870" s="77" t="s">
        <v>4014</v>
      </c>
    </row>
    <row r="871">
      <c r="A871" s="77" t="s">
        <v>4014</v>
      </c>
    </row>
    <row r="872">
      <c r="A872" s="77" t="s">
        <v>4014</v>
      </c>
    </row>
    <row r="873">
      <c r="A873" s="77" t="s">
        <v>4014</v>
      </c>
    </row>
    <row r="874">
      <c r="A874" s="77" t="s">
        <v>4014</v>
      </c>
    </row>
    <row r="875">
      <c r="A875" s="77" t="s">
        <v>4014</v>
      </c>
    </row>
    <row r="876">
      <c r="A876" s="77" t="s">
        <v>4014</v>
      </c>
    </row>
    <row r="877">
      <c r="A877" s="77" t="s">
        <v>4014</v>
      </c>
    </row>
    <row r="878">
      <c r="A878" s="77" t="s">
        <v>4014</v>
      </c>
    </row>
    <row r="879">
      <c r="A879" s="77" t="s">
        <v>4014</v>
      </c>
    </row>
    <row r="880">
      <c r="A880" s="77" t="s">
        <v>4014</v>
      </c>
    </row>
    <row r="881">
      <c r="A881" s="77" t="s">
        <v>4014</v>
      </c>
    </row>
    <row r="882">
      <c r="A882" s="77" t="s">
        <v>4014</v>
      </c>
    </row>
    <row r="883">
      <c r="A883" s="77" t="s">
        <v>4014</v>
      </c>
    </row>
    <row r="884">
      <c r="A884" s="77" t="s">
        <v>4014</v>
      </c>
    </row>
    <row r="885">
      <c r="A885" s="77" t="s">
        <v>4014</v>
      </c>
    </row>
    <row r="886">
      <c r="A886" s="77" t="s">
        <v>4014</v>
      </c>
    </row>
    <row r="887">
      <c r="A887" s="77" t="s">
        <v>4014</v>
      </c>
    </row>
    <row r="888">
      <c r="A888" s="77" t="s">
        <v>4014</v>
      </c>
    </row>
    <row r="889">
      <c r="A889" s="77" t="s">
        <v>4014</v>
      </c>
    </row>
    <row r="890">
      <c r="A890" s="77" t="s">
        <v>4014</v>
      </c>
    </row>
    <row r="891">
      <c r="A891" s="77" t="s">
        <v>4014</v>
      </c>
    </row>
    <row r="892">
      <c r="A892" s="77" t="s">
        <v>4014</v>
      </c>
    </row>
    <row r="893">
      <c r="A893" s="77" t="s">
        <v>4014</v>
      </c>
    </row>
    <row r="894">
      <c r="A894" s="77" t="s">
        <v>4014</v>
      </c>
    </row>
    <row r="895">
      <c r="A895" s="77" t="s">
        <v>4014</v>
      </c>
    </row>
    <row r="896">
      <c r="A896" s="77" t="s">
        <v>4014</v>
      </c>
    </row>
    <row r="897">
      <c r="A897" s="77" t="s">
        <v>4014</v>
      </c>
    </row>
    <row r="898">
      <c r="A898" s="77" t="s">
        <v>4014</v>
      </c>
    </row>
    <row r="899">
      <c r="A899" s="77" t="s">
        <v>4014</v>
      </c>
    </row>
    <row r="900">
      <c r="A900" s="77" t="s">
        <v>4014</v>
      </c>
    </row>
    <row r="901">
      <c r="A901" s="77" t="s">
        <v>4014</v>
      </c>
    </row>
    <row r="902">
      <c r="A902" s="77" t="s">
        <v>4014</v>
      </c>
    </row>
    <row r="903">
      <c r="A903" s="77" t="s">
        <v>4014</v>
      </c>
    </row>
    <row r="904">
      <c r="A904" s="77" t="s">
        <v>4014</v>
      </c>
    </row>
    <row r="905">
      <c r="A905" s="77" t="s">
        <v>4014</v>
      </c>
    </row>
    <row r="906">
      <c r="A906" s="77" t="s">
        <v>4014</v>
      </c>
    </row>
    <row r="907">
      <c r="A907" s="77" t="s">
        <v>4014</v>
      </c>
    </row>
    <row r="908">
      <c r="A908" s="77" t="s">
        <v>4014</v>
      </c>
    </row>
    <row r="909">
      <c r="A909" s="77" t="s">
        <v>4014</v>
      </c>
    </row>
    <row r="910">
      <c r="A910" s="77" t="s">
        <v>4014</v>
      </c>
    </row>
    <row r="911">
      <c r="A911" s="77" t="s">
        <v>4014</v>
      </c>
    </row>
    <row r="912">
      <c r="A912" s="77" t="s">
        <v>4014</v>
      </c>
    </row>
    <row r="913">
      <c r="A913" s="77" t="s">
        <v>4014</v>
      </c>
    </row>
    <row r="914">
      <c r="A914" s="77" t="s">
        <v>4014</v>
      </c>
    </row>
    <row r="915">
      <c r="A915" s="77" t="s">
        <v>4014</v>
      </c>
    </row>
    <row r="916">
      <c r="A916" s="77" t="s">
        <v>4014</v>
      </c>
    </row>
    <row r="917">
      <c r="A917" s="77" t="s">
        <v>4014</v>
      </c>
    </row>
    <row r="918">
      <c r="A918" s="77" t="s">
        <v>4014</v>
      </c>
    </row>
    <row r="919">
      <c r="A919" s="77" t="s">
        <v>4014</v>
      </c>
    </row>
    <row r="920">
      <c r="A920" s="77" t="s">
        <v>4014</v>
      </c>
    </row>
    <row r="921">
      <c r="A921" s="77" t="s">
        <v>4014</v>
      </c>
    </row>
    <row r="922">
      <c r="A922" s="77" t="s">
        <v>4014</v>
      </c>
    </row>
    <row r="923">
      <c r="A923" s="77" t="s">
        <v>4014</v>
      </c>
    </row>
    <row r="924">
      <c r="A924" s="77" t="s">
        <v>4014</v>
      </c>
    </row>
    <row r="925">
      <c r="A925" s="77" t="s">
        <v>4014</v>
      </c>
    </row>
    <row r="926">
      <c r="A926" s="77" t="s">
        <v>4014</v>
      </c>
    </row>
    <row r="927">
      <c r="A927" s="77" t="s">
        <v>4014</v>
      </c>
    </row>
    <row r="928">
      <c r="A928" s="77" t="s">
        <v>4014</v>
      </c>
    </row>
    <row r="929">
      <c r="A929" s="77" t="s">
        <v>4014</v>
      </c>
    </row>
    <row r="930">
      <c r="A930" s="77" t="s">
        <v>4014</v>
      </c>
    </row>
    <row r="931">
      <c r="A931" s="77" t="s">
        <v>4014</v>
      </c>
    </row>
    <row r="932">
      <c r="A932" s="77" t="s">
        <v>4014</v>
      </c>
    </row>
    <row r="933">
      <c r="A933" s="77" t="s">
        <v>4014</v>
      </c>
    </row>
    <row r="934">
      <c r="A934" s="77" t="s">
        <v>4014</v>
      </c>
    </row>
    <row r="935">
      <c r="A935" s="77" t="s">
        <v>4014</v>
      </c>
    </row>
    <row r="936">
      <c r="A936" s="77" t="s">
        <v>4014</v>
      </c>
    </row>
    <row r="937">
      <c r="A937" s="77" t="s">
        <v>4014</v>
      </c>
    </row>
    <row r="938">
      <c r="A938" s="77" t="s">
        <v>4014</v>
      </c>
    </row>
    <row r="939">
      <c r="A939" s="77" t="s">
        <v>4014</v>
      </c>
    </row>
    <row r="940">
      <c r="A940" s="77" t="s">
        <v>4014</v>
      </c>
    </row>
    <row r="941">
      <c r="A941" s="77" t="s">
        <v>4014</v>
      </c>
    </row>
    <row r="942">
      <c r="A942" s="77" t="s">
        <v>4014</v>
      </c>
    </row>
    <row r="943">
      <c r="A943" s="77" t="s">
        <v>4014</v>
      </c>
    </row>
    <row r="944">
      <c r="A944" s="77" t="s">
        <v>4014</v>
      </c>
    </row>
    <row r="945">
      <c r="A945" s="77" t="s">
        <v>4014</v>
      </c>
    </row>
    <row r="946">
      <c r="A946" s="77" t="s">
        <v>4014</v>
      </c>
    </row>
    <row r="947">
      <c r="A947" s="77" t="s">
        <v>4014</v>
      </c>
    </row>
    <row r="948">
      <c r="A948" s="77" t="s">
        <v>4014</v>
      </c>
    </row>
    <row r="949">
      <c r="A949" s="77" t="s">
        <v>4014</v>
      </c>
    </row>
    <row r="950">
      <c r="A950" s="77" t="s">
        <v>4014</v>
      </c>
    </row>
    <row r="951">
      <c r="A951" s="77" t="s">
        <v>4014</v>
      </c>
    </row>
    <row r="952">
      <c r="A952" s="77" t="s">
        <v>4014</v>
      </c>
    </row>
    <row r="953">
      <c r="A953" s="77" t="s">
        <v>4014</v>
      </c>
    </row>
    <row r="954">
      <c r="A954" s="77" t="s">
        <v>4014</v>
      </c>
    </row>
    <row r="955">
      <c r="A955" s="77" t="s">
        <v>4014</v>
      </c>
    </row>
    <row r="956">
      <c r="A956" s="77" t="s">
        <v>4014</v>
      </c>
    </row>
    <row r="957">
      <c r="A957" s="77" t="s">
        <v>4014</v>
      </c>
    </row>
    <row r="958">
      <c r="A958" s="77" t="s">
        <v>4014</v>
      </c>
    </row>
    <row r="959">
      <c r="A959" s="77" t="s">
        <v>4014</v>
      </c>
    </row>
    <row r="960">
      <c r="A960" s="77" t="s">
        <v>4014</v>
      </c>
    </row>
    <row r="961">
      <c r="A961" s="77" t="s">
        <v>4014</v>
      </c>
    </row>
    <row r="962">
      <c r="A962" s="77" t="s">
        <v>4014</v>
      </c>
    </row>
    <row r="963">
      <c r="A963" s="77" t="s">
        <v>4014</v>
      </c>
    </row>
    <row r="964">
      <c r="A964" s="77" t="s">
        <v>4014</v>
      </c>
    </row>
    <row r="965">
      <c r="A965" s="77" t="s">
        <v>4014</v>
      </c>
    </row>
    <row r="966">
      <c r="A966" s="77" t="s">
        <v>4014</v>
      </c>
    </row>
    <row r="967">
      <c r="A967" s="77" t="s">
        <v>4014</v>
      </c>
    </row>
    <row r="968">
      <c r="A968" s="77" t="s">
        <v>4014</v>
      </c>
    </row>
    <row r="969">
      <c r="A969" s="77" t="s">
        <v>4014</v>
      </c>
    </row>
    <row r="970">
      <c r="A970" s="77" t="s">
        <v>4014</v>
      </c>
    </row>
    <row r="971">
      <c r="A971" s="77" t="s">
        <v>4014</v>
      </c>
    </row>
    <row r="972">
      <c r="A972" s="77" t="s">
        <v>4014</v>
      </c>
    </row>
    <row r="973">
      <c r="A973" s="77" t="s">
        <v>4014</v>
      </c>
    </row>
    <row r="974">
      <c r="A974" s="77" t="s">
        <v>4014</v>
      </c>
    </row>
    <row r="975">
      <c r="A975" s="77" t="s">
        <v>4014</v>
      </c>
    </row>
    <row r="976">
      <c r="A976" s="77" t="s">
        <v>4014</v>
      </c>
    </row>
    <row r="977">
      <c r="A977" s="77" t="s">
        <v>4014</v>
      </c>
    </row>
    <row r="978">
      <c r="A978" s="77" t="s">
        <v>4014</v>
      </c>
    </row>
    <row r="979">
      <c r="A979" s="77" t="s">
        <v>4014</v>
      </c>
    </row>
    <row r="980">
      <c r="A980" s="77" t="s">
        <v>4014</v>
      </c>
    </row>
    <row r="981">
      <c r="A981" s="77" t="s">
        <v>4014</v>
      </c>
    </row>
    <row r="982">
      <c r="A982" s="77" t="s">
        <v>4014</v>
      </c>
    </row>
    <row r="983">
      <c r="A983" s="77" t="s">
        <v>4014</v>
      </c>
    </row>
    <row r="984">
      <c r="A984" s="77" t="s">
        <v>4014</v>
      </c>
    </row>
    <row r="985">
      <c r="A985" s="77" t="s">
        <v>4014</v>
      </c>
    </row>
    <row r="986">
      <c r="A986" s="77" t="s">
        <v>4014</v>
      </c>
    </row>
    <row r="987">
      <c r="A987" s="77" t="s">
        <v>4014</v>
      </c>
    </row>
    <row r="988">
      <c r="A988" s="77" t="s">
        <v>4014</v>
      </c>
    </row>
    <row r="989">
      <c r="A989" s="77" t="s">
        <v>4014</v>
      </c>
    </row>
    <row r="990">
      <c r="A990" s="77" t="s">
        <v>4014</v>
      </c>
    </row>
    <row r="991">
      <c r="A991" s="77" t="s">
        <v>4014</v>
      </c>
    </row>
    <row r="992">
      <c r="A992" s="77" t="s">
        <v>4014</v>
      </c>
    </row>
    <row r="993">
      <c r="A993" s="77" t="s">
        <v>4014</v>
      </c>
    </row>
    <row r="994">
      <c r="A994" s="77" t="s">
        <v>4014</v>
      </c>
    </row>
    <row r="995">
      <c r="A995" s="77" t="s">
        <v>4014</v>
      </c>
    </row>
    <row r="996">
      <c r="A996" s="77" t="s">
        <v>4014</v>
      </c>
    </row>
    <row r="997">
      <c r="A997" s="77" t="s">
        <v>4014</v>
      </c>
    </row>
    <row r="998">
      <c r="A998" s="77" t="s">
        <v>4014</v>
      </c>
    </row>
    <row r="999">
      <c r="A999" s="77" t="s">
        <v>4014</v>
      </c>
    </row>
    <row r="1000">
      <c r="A1000" s="77" t="s">
        <v>4014</v>
      </c>
    </row>
    <row r="1001">
      <c r="A1001" s="77" t="s">
        <v>4014</v>
      </c>
    </row>
    <row r="1002">
      <c r="A1002" s="77" t="s">
        <v>4014</v>
      </c>
    </row>
    <row r="1003">
      <c r="A1003" s="77" t="s">
        <v>4014</v>
      </c>
    </row>
    <row r="1004">
      <c r="A1004" s="77" t="s">
        <v>4014</v>
      </c>
    </row>
    <row r="1005">
      <c r="A1005" s="77" t="s">
        <v>4014</v>
      </c>
    </row>
    <row r="1006">
      <c r="A1006" s="77" t="s">
        <v>4014</v>
      </c>
    </row>
    <row r="1007">
      <c r="A1007" s="77" t="s">
        <v>4014</v>
      </c>
    </row>
    <row r="1008">
      <c r="A1008" s="77" t="s">
        <v>4014</v>
      </c>
    </row>
    <row r="1009">
      <c r="A1009" s="77" t="s">
        <v>4014</v>
      </c>
    </row>
    <row r="1010">
      <c r="A1010" s="77" t="s">
        <v>4014</v>
      </c>
    </row>
    <row r="1011">
      <c r="A1011" s="77" t="s">
        <v>4014</v>
      </c>
    </row>
    <row r="1012">
      <c r="A1012" s="77" t="s">
        <v>4014</v>
      </c>
    </row>
    <row r="1013">
      <c r="A1013" s="77" t="s">
        <v>4014</v>
      </c>
    </row>
    <row r="1014">
      <c r="A1014" s="77" t="s">
        <v>4014</v>
      </c>
    </row>
    <row r="1015">
      <c r="A1015" s="77" t="s">
        <v>4014</v>
      </c>
    </row>
    <row r="1016">
      <c r="A1016" s="77" t="s">
        <v>4014</v>
      </c>
    </row>
    <row r="1017">
      <c r="A1017" s="77" t="s">
        <v>4014</v>
      </c>
    </row>
    <row r="1018">
      <c r="A1018" s="77" t="s">
        <v>4014</v>
      </c>
    </row>
    <row r="1019">
      <c r="A1019" s="77" t="s">
        <v>4014</v>
      </c>
    </row>
    <row r="1020">
      <c r="A1020" s="77" t="s">
        <v>4014</v>
      </c>
    </row>
    <row r="1021">
      <c r="A1021" s="77" t="s">
        <v>4014</v>
      </c>
    </row>
    <row r="1022">
      <c r="A1022" s="77" t="s">
        <v>4014</v>
      </c>
    </row>
    <row r="1023">
      <c r="A1023" s="77" t="s">
        <v>4014</v>
      </c>
    </row>
    <row r="1024">
      <c r="A1024" s="77" t="s">
        <v>4014</v>
      </c>
    </row>
    <row r="1025">
      <c r="A1025" s="77" t="s">
        <v>4014</v>
      </c>
    </row>
    <row r="1026">
      <c r="A1026" s="77" t="s">
        <v>4014</v>
      </c>
    </row>
    <row r="1027">
      <c r="A1027" s="77" t="s">
        <v>4014</v>
      </c>
    </row>
    <row r="1028">
      <c r="A1028" s="77" t="s">
        <v>4014</v>
      </c>
    </row>
    <row r="1029">
      <c r="A1029" s="77" t="s">
        <v>4014</v>
      </c>
    </row>
    <row r="1030">
      <c r="A1030" s="77" t="s">
        <v>4014</v>
      </c>
    </row>
    <row r="1031">
      <c r="A1031" s="77" t="s">
        <v>4014</v>
      </c>
    </row>
    <row r="1032">
      <c r="A1032" s="77" t="s">
        <v>4014</v>
      </c>
    </row>
    <row r="1033">
      <c r="A1033" s="77" t="s">
        <v>4014</v>
      </c>
    </row>
    <row r="1034">
      <c r="A1034" s="77" t="s">
        <v>4014</v>
      </c>
    </row>
    <row r="1035">
      <c r="A1035" s="77" t="s">
        <v>4014</v>
      </c>
    </row>
    <row r="1036">
      <c r="A1036" s="77" t="s">
        <v>4014</v>
      </c>
    </row>
    <row r="1037">
      <c r="A1037" s="77" t="s">
        <v>4014</v>
      </c>
    </row>
    <row r="1038">
      <c r="A1038" s="77" t="s">
        <v>4014</v>
      </c>
    </row>
    <row r="1039">
      <c r="A1039" s="77" t="s">
        <v>4014</v>
      </c>
    </row>
    <row r="1040">
      <c r="A1040" s="77" t="s">
        <v>4014</v>
      </c>
    </row>
    <row r="1041">
      <c r="A1041" s="77" t="s">
        <v>4014</v>
      </c>
    </row>
    <row r="1042">
      <c r="A1042" s="77" t="s">
        <v>4014</v>
      </c>
    </row>
    <row r="1043">
      <c r="A1043" s="77" t="s">
        <v>4014</v>
      </c>
    </row>
    <row r="1044">
      <c r="A1044" s="77" t="s">
        <v>4014</v>
      </c>
    </row>
    <row r="1045">
      <c r="A1045" s="77" t="s">
        <v>4014</v>
      </c>
    </row>
    <row r="1046">
      <c r="A1046" s="77" t="s">
        <v>4014</v>
      </c>
    </row>
    <row r="1047">
      <c r="A1047" s="77" t="s">
        <v>4014</v>
      </c>
    </row>
    <row r="1048">
      <c r="A1048" s="77" t="s">
        <v>4014</v>
      </c>
    </row>
    <row r="1049">
      <c r="A1049" s="77" t="s">
        <v>4014</v>
      </c>
    </row>
    <row r="1050">
      <c r="A1050" s="77" t="s">
        <v>4014</v>
      </c>
    </row>
    <row r="1051">
      <c r="A1051" s="77" t="s">
        <v>4014</v>
      </c>
    </row>
    <row r="1052">
      <c r="A1052" s="77" t="s">
        <v>4014</v>
      </c>
    </row>
    <row r="1053">
      <c r="A1053" s="77" t="s">
        <v>4014</v>
      </c>
    </row>
    <row r="1054">
      <c r="A1054" s="77" t="s">
        <v>4014</v>
      </c>
    </row>
    <row r="1055">
      <c r="A1055" s="77" t="s">
        <v>4014</v>
      </c>
    </row>
    <row r="1056">
      <c r="A1056" s="77" t="s">
        <v>4014</v>
      </c>
    </row>
    <row r="1057">
      <c r="A1057" s="77" t="s">
        <v>4014</v>
      </c>
    </row>
    <row r="1058">
      <c r="A1058" s="77" t="s">
        <v>4014</v>
      </c>
    </row>
    <row r="1059">
      <c r="A1059" s="77" t="s">
        <v>4014</v>
      </c>
    </row>
    <row r="1060">
      <c r="A1060" s="77" t="s">
        <v>4014</v>
      </c>
    </row>
    <row r="1061">
      <c r="A1061" s="77" t="s">
        <v>4014</v>
      </c>
    </row>
    <row r="1062">
      <c r="A1062" s="77" t="s">
        <v>4014</v>
      </c>
    </row>
    <row r="1063">
      <c r="A1063" s="77" t="s">
        <v>4014</v>
      </c>
    </row>
    <row r="1064">
      <c r="A1064" s="77" t="s">
        <v>4014</v>
      </c>
    </row>
    <row r="1065">
      <c r="A1065" s="77" t="s">
        <v>4014</v>
      </c>
    </row>
    <row r="1066">
      <c r="A1066" s="77" t="s">
        <v>4014</v>
      </c>
    </row>
    <row r="1067">
      <c r="A1067" s="77" t="s">
        <v>4014</v>
      </c>
    </row>
    <row r="1068">
      <c r="A1068" s="77" t="s">
        <v>4014</v>
      </c>
    </row>
    <row r="1069">
      <c r="A1069" s="77" t="s">
        <v>4014</v>
      </c>
    </row>
    <row r="1070">
      <c r="A1070" s="77" t="s">
        <v>4014</v>
      </c>
    </row>
    <row r="1071">
      <c r="A1071" s="77" t="s">
        <v>4014</v>
      </c>
    </row>
    <row r="1072">
      <c r="A1072" s="77" t="s">
        <v>4014</v>
      </c>
    </row>
    <row r="1073">
      <c r="A1073" s="77" t="s">
        <v>4014</v>
      </c>
    </row>
    <row r="1074">
      <c r="A1074" s="77" t="s">
        <v>4014</v>
      </c>
    </row>
    <row r="1075">
      <c r="A1075" s="77" t="s">
        <v>4014</v>
      </c>
    </row>
    <row r="1076">
      <c r="A1076" s="77" t="s">
        <v>4014</v>
      </c>
    </row>
    <row r="1077">
      <c r="A1077" s="77" t="s">
        <v>4014</v>
      </c>
    </row>
    <row r="1078">
      <c r="A1078" s="77" t="s">
        <v>4014</v>
      </c>
    </row>
    <row r="1079">
      <c r="A1079" s="77" t="s">
        <v>4014</v>
      </c>
    </row>
    <row r="1080">
      <c r="A1080" s="77" t="s">
        <v>4014</v>
      </c>
    </row>
    <row r="1081">
      <c r="A1081" s="77" t="s">
        <v>4014</v>
      </c>
    </row>
    <row r="1082">
      <c r="A1082" s="77" t="s">
        <v>4014</v>
      </c>
    </row>
    <row r="1083">
      <c r="A1083" s="77" t="s">
        <v>4014</v>
      </c>
    </row>
    <row r="1084">
      <c r="A1084" s="77" t="s">
        <v>4014</v>
      </c>
    </row>
    <row r="1085">
      <c r="A1085" s="77" t="s">
        <v>4014</v>
      </c>
    </row>
    <row r="1086">
      <c r="A1086" s="77" t="s">
        <v>4014</v>
      </c>
    </row>
    <row r="1087">
      <c r="A1087" s="77" t="s">
        <v>4014</v>
      </c>
    </row>
    <row r="1088">
      <c r="A1088" s="77" t="s">
        <v>4014</v>
      </c>
    </row>
    <row r="1089">
      <c r="A1089" s="77" t="s">
        <v>4014</v>
      </c>
    </row>
    <row r="1090">
      <c r="A1090" s="77" t="s">
        <v>4014</v>
      </c>
    </row>
    <row r="1091">
      <c r="A1091" s="77" t="s">
        <v>4014</v>
      </c>
    </row>
    <row r="1092">
      <c r="A1092" s="77" t="s">
        <v>4014</v>
      </c>
    </row>
    <row r="1093">
      <c r="A1093" s="77" t="s">
        <v>4014</v>
      </c>
    </row>
    <row r="1094">
      <c r="A1094" s="77" t="s">
        <v>4014</v>
      </c>
    </row>
    <row r="1095">
      <c r="A1095" s="77" t="s">
        <v>4014</v>
      </c>
    </row>
    <row r="1096">
      <c r="A1096" s="77" t="s">
        <v>4014</v>
      </c>
    </row>
    <row r="1097">
      <c r="A1097" s="77" t="s">
        <v>4014</v>
      </c>
    </row>
    <row r="1098">
      <c r="A1098" s="77" t="s">
        <v>4014</v>
      </c>
    </row>
    <row r="1099">
      <c r="A1099" s="77" t="s">
        <v>4014</v>
      </c>
    </row>
    <row r="1100">
      <c r="A1100" s="77" t="s">
        <v>4014</v>
      </c>
    </row>
    <row r="1101">
      <c r="A1101" s="77" t="s">
        <v>4014</v>
      </c>
    </row>
    <row r="1102">
      <c r="A1102" s="77" t="s">
        <v>4014</v>
      </c>
    </row>
    <row r="1103">
      <c r="A1103" s="77" t="s">
        <v>4014</v>
      </c>
    </row>
    <row r="1104">
      <c r="A1104" s="77" t="s">
        <v>4014</v>
      </c>
    </row>
    <row r="1105">
      <c r="A1105" s="77" t="s">
        <v>4014</v>
      </c>
    </row>
    <row r="1106">
      <c r="A1106" s="77" t="s">
        <v>4014</v>
      </c>
    </row>
    <row r="1107">
      <c r="A1107" s="77" t="s">
        <v>4014</v>
      </c>
    </row>
    <row r="1108">
      <c r="A1108" s="77" t="s">
        <v>4014</v>
      </c>
    </row>
    <row r="1109">
      <c r="A1109" s="77" t="s">
        <v>4014</v>
      </c>
    </row>
    <row r="1110">
      <c r="A1110" s="77" t="s">
        <v>4014</v>
      </c>
    </row>
    <row r="1111">
      <c r="A1111" s="77" t="s">
        <v>4014</v>
      </c>
    </row>
    <row r="1112">
      <c r="A1112" s="77" t="s">
        <v>4014</v>
      </c>
    </row>
    <row r="1113">
      <c r="A1113" s="77" t="s">
        <v>4014</v>
      </c>
    </row>
    <row r="1114">
      <c r="A1114" s="77" t="s">
        <v>4014</v>
      </c>
    </row>
    <row r="1115">
      <c r="A1115" s="77" t="s">
        <v>4014</v>
      </c>
    </row>
    <row r="1116">
      <c r="A1116" s="77" t="s">
        <v>4014</v>
      </c>
    </row>
    <row r="1117">
      <c r="A1117" s="77" t="s">
        <v>4014</v>
      </c>
    </row>
    <row r="1118">
      <c r="A1118" s="77" t="s">
        <v>4014</v>
      </c>
    </row>
    <row r="1119">
      <c r="A1119" s="77" t="s">
        <v>4014</v>
      </c>
    </row>
    <row r="1120">
      <c r="A1120" s="77" t="s">
        <v>4014</v>
      </c>
    </row>
    <row r="1121">
      <c r="A1121" s="77" t="s">
        <v>4014</v>
      </c>
    </row>
    <row r="1122">
      <c r="A1122" s="77" t="s">
        <v>4014</v>
      </c>
    </row>
    <row r="1123">
      <c r="A1123" s="77" t="s">
        <v>4014</v>
      </c>
    </row>
    <row r="1124">
      <c r="A1124" s="77" t="s">
        <v>4014</v>
      </c>
    </row>
    <row r="1125">
      <c r="A1125" s="77" t="s">
        <v>4014</v>
      </c>
    </row>
    <row r="1126">
      <c r="A1126" s="77" t="s">
        <v>4014</v>
      </c>
    </row>
    <row r="1127">
      <c r="A1127" s="77" t="s">
        <v>4014</v>
      </c>
    </row>
    <row r="1128">
      <c r="A1128" s="77" t="s">
        <v>4014</v>
      </c>
    </row>
    <row r="1129">
      <c r="A1129" s="77" t="s">
        <v>4014</v>
      </c>
    </row>
    <row r="1130">
      <c r="A1130" s="77" t="s">
        <v>4014</v>
      </c>
    </row>
    <row r="1131">
      <c r="A1131" s="77" t="s">
        <v>4014</v>
      </c>
    </row>
    <row r="1132">
      <c r="A1132" s="77" t="s">
        <v>4014</v>
      </c>
    </row>
    <row r="1133">
      <c r="A1133" s="77" t="s">
        <v>4014</v>
      </c>
    </row>
    <row r="1134">
      <c r="A1134" s="77" t="s">
        <v>4014</v>
      </c>
    </row>
    <row r="1135">
      <c r="A1135" s="77" t="s">
        <v>4014</v>
      </c>
    </row>
    <row r="1136">
      <c r="A1136" s="77" t="s">
        <v>4014</v>
      </c>
    </row>
    <row r="1137">
      <c r="A1137" s="77" t="s">
        <v>4014</v>
      </c>
    </row>
    <row r="1138">
      <c r="A1138" s="77" t="s">
        <v>4014</v>
      </c>
    </row>
    <row r="1139">
      <c r="A1139" s="77" t="s">
        <v>4014</v>
      </c>
    </row>
    <row r="1140">
      <c r="A1140" s="77" t="s">
        <v>4014</v>
      </c>
    </row>
    <row r="1141">
      <c r="A1141" s="77" t="s">
        <v>4014</v>
      </c>
    </row>
    <row r="1142">
      <c r="A1142" s="77" t="s">
        <v>4014</v>
      </c>
    </row>
    <row r="1143">
      <c r="A1143" s="77" t="s">
        <v>4014</v>
      </c>
    </row>
    <row r="1144">
      <c r="A1144" s="77" t="s">
        <v>4014</v>
      </c>
    </row>
    <row r="1145">
      <c r="A1145" s="77" t="s">
        <v>4014</v>
      </c>
    </row>
    <row r="1146">
      <c r="A1146" s="77" t="s">
        <v>4014</v>
      </c>
    </row>
    <row r="1147">
      <c r="A1147" s="77" t="s">
        <v>4014</v>
      </c>
    </row>
    <row r="1148">
      <c r="A1148" s="77" t="s">
        <v>4014</v>
      </c>
    </row>
    <row r="1149">
      <c r="A1149" s="77" t="s">
        <v>4014</v>
      </c>
    </row>
    <row r="1150">
      <c r="A1150" s="77" t="s">
        <v>4014</v>
      </c>
    </row>
    <row r="1151">
      <c r="A1151" s="77" t="s">
        <v>4014</v>
      </c>
    </row>
    <row r="1152">
      <c r="A1152" s="77" t="s">
        <v>4014</v>
      </c>
    </row>
    <row r="1153">
      <c r="A1153" s="77" t="s">
        <v>4014</v>
      </c>
    </row>
    <row r="1154">
      <c r="A1154" s="77" t="s">
        <v>4014</v>
      </c>
    </row>
    <row r="1155">
      <c r="A1155" s="77" t="s">
        <v>4014</v>
      </c>
    </row>
    <row r="1156">
      <c r="A1156" s="77" t="s">
        <v>4014</v>
      </c>
    </row>
    <row r="1157">
      <c r="A1157" s="77" t="s">
        <v>4014</v>
      </c>
    </row>
    <row r="1158">
      <c r="A1158" s="77" t="s">
        <v>4014</v>
      </c>
    </row>
    <row r="1159">
      <c r="A1159" s="77" t="s">
        <v>4014</v>
      </c>
    </row>
    <row r="1160">
      <c r="A1160" s="77" t="s">
        <v>4014</v>
      </c>
    </row>
    <row r="1161">
      <c r="A1161" s="77" t="s">
        <v>4014</v>
      </c>
    </row>
    <row r="1162">
      <c r="A1162" s="77" t="s">
        <v>4014</v>
      </c>
    </row>
    <row r="1163">
      <c r="A1163" s="77" t="s">
        <v>4014</v>
      </c>
    </row>
    <row r="1164">
      <c r="A1164" s="77" t="s">
        <v>4014</v>
      </c>
    </row>
    <row r="1165">
      <c r="A1165" s="77" t="s">
        <v>4014</v>
      </c>
    </row>
    <row r="1166">
      <c r="A1166" s="77" t="s">
        <v>4014</v>
      </c>
    </row>
    <row r="1167">
      <c r="A1167" s="77" t="s">
        <v>4014</v>
      </c>
    </row>
    <row r="1168">
      <c r="A1168" s="77" t="s">
        <v>4014</v>
      </c>
    </row>
    <row r="1169">
      <c r="A1169" s="77" t="s">
        <v>4014</v>
      </c>
    </row>
    <row r="1170">
      <c r="A1170" s="77" t="s">
        <v>4014</v>
      </c>
    </row>
    <row r="1171">
      <c r="A1171" s="77" t="s">
        <v>4014</v>
      </c>
    </row>
    <row r="1172">
      <c r="A1172" s="77" t="s">
        <v>4014</v>
      </c>
    </row>
    <row r="1173">
      <c r="A1173" s="77" t="s">
        <v>4014</v>
      </c>
    </row>
    <row r="1174">
      <c r="A1174" s="77" t="s">
        <v>4014</v>
      </c>
    </row>
    <row r="1175">
      <c r="A1175" s="77" t="s">
        <v>4014</v>
      </c>
    </row>
    <row r="1176">
      <c r="A1176" s="77" t="s">
        <v>4014</v>
      </c>
    </row>
    <row r="1177">
      <c r="A1177" s="77" t="s">
        <v>4014</v>
      </c>
    </row>
    <row r="1178">
      <c r="A1178" s="77" t="s">
        <v>4014</v>
      </c>
    </row>
    <row r="1179">
      <c r="A1179" s="77" t="s">
        <v>4014</v>
      </c>
    </row>
    <row r="1180">
      <c r="A1180" s="77" t="s">
        <v>4014</v>
      </c>
    </row>
    <row r="1181">
      <c r="A1181" s="77" t="s">
        <v>4014</v>
      </c>
    </row>
    <row r="1182">
      <c r="A1182" s="77" t="s">
        <v>4014</v>
      </c>
    </row>
    <row r="1183">
      <c r="A1183" s="77" t="s">
        <v>4014</v>
      </c>
    </row>
    <row r="1184">
      <c r="A1184" s="77" t="s">
        <v>4014</v>
      </c>
    </row>
    <row r="1185">
      <c r="A1185" s="77" t="s">
        <v>4014</v>
      </c>
    </row>
    <row r="1186">
      <c r="A1186" s="77" t="s">
        <v>4014</v>
      </c>
    </row>
    <row r="1187">
      <c r="A1187" s="77" t="s">
        <v>4014</v>
      </c>
    </row>
    <row r="1188">
      <c r="A1188" s="77" t="s">
        <v>4014</v>
      </c>
    </row>
    <row r="1189">
      <c r="A1189" s="77" t="s">
        <v>4014</v>
      </c>
    </row>
    <row r="1190">
      <c r="A1190" s="77" t="s">
        <v>4014</v>
      </c>
    </row>
    <row r="1191">
      <c r="A1191" s="77" t="s">
        <v>4014</v>
      </c>
    </row>
    <row r="1192">
      <c r="A1192" s="77" t="s">
        <v>4014</v>
      </c>
    </row>
    <row r="1193">
      <c r="A1193" s="77" t="s">
        <v>4014</v>
      </c>
    </row>
    <row r="1194">
      <c r="A1194" s="77" t="s">
        <v>4014</v>
      </c>
    </row>
    <row r="1195">
      <c r="A1195" s="77" t="s">
        <v>4014</v>
      </c>
    </row>
    <row r="1196">
      <c r="A1196" s="77" t="s">
        <v>4014</v>
      </c>
    </row>
    <row r="1197">
      <c r="A1197" s="77" t="s">
        <v>4014</v>
      </c>
    </row>
    <row r="1198">
      <c r="A1198" s="77" t="s">
        <v>4014</v>
      </c>
    </row>
    <row r="1199">
      <c r="A1199" s="77" t="s">
        <v>4014</v>
      </c>
    </row>
    <row r="1200">
      <c r="A1200" s="77" t="s">
        <v>4014</v>
      </c>
    </row>
    <row r="1201">
      <c r="A1201" s="77" t="s">
        <v>4014</v>
      </c>
    </row>
    <row r="1202">
      <c r="A1202" s="77" t="s">
        <v>4014</v>
      </c>
    </row>
    <row r="1203">
      <c r="A1203" s="77" t="s">
        <v>4014</v>
      </c>
    </row>
    <row r="1204">
      <c r="A1204" s="77" t="s">
        <v>4014</v>
      </c>
    </row>
    <row r="1205">
      <c r="A1205" s="77" t="s">
        <v>4014</v>
      </c>
    </row>
    <row r="1206">
      <c r="A1206" s="77" t="s">
        <v>4014</v>
      </c>
    </row>
    <row r="1207">
      <c r="A1207" s="77" t="s">
        <v>4014</v>
      </c>
    </row>
    <row r="1208">
      <c r="A1208" s="77" t="s">
        <v>4014</v>
      </c>
    </row>
    <row r="1209">
      <c r="A1209" s="77" t="s">
        <v>4014</v>
      </c>
    </row>
    <row r="1210">
      <c r="A1210" s="77" t="s">
        <v>4014</v>
      </c>
    </row>
    <row r="1211">
      <c r="A1211" s="77" t="s">
        <v>4014</v>
      </c>
    </row>
    <row r="1212">
      <c r="A1212" s="77" t="s">
        <v>4014</v>
      </c>
    </row>
    <row r="1213">
      <c r="A1213" s="77" t="s">
        <v>4014</v>
      </c>
    </row>
    <row r="1214">
      <c r="A1214" s="77" t="s">
        <v>4014</v>
      </c>
    </row>
    <row r="1215">
      <c r="A1215" s="77" t="s">
        <v>4014</v>
      </c>
    </row>
    <row r="1216">
      <c r="A1216" s="77" t="s">
        <v>4014</v>
      </c>
    </row>
    <row r="1217">
      <c r="A1217" s="77" t="s">
        <v>4014</v>
      </c>
    </row>
    <row r="1218">
      <c r="A1218" s="77" t="s">
        <v>4014</v>
      </c>
    </row>
    <row r="1219">
      <c r="A1219" s="77" t="s">
        <v>4014</v>
      </c>
    </row>
    <row r="1220">
      <c r="A1220" s="77" t="s">
        <v>4014</v>
      </c>
    </row>
    <row r="1221">
      <c r="A1221" s="77" t="s">
        <v>4014</v>
      </c>
    </row>
    <row r="1222">
      <c r="A1222" s="77" t="s">
        <v>4014</v>
      </c>
    </row>
    <row r="1223">
      <c r="A1223" s="77" t="s">
        <v>4014</v>
      </c>
    </row>
    <row r="1224">
      <c r="A1224" s="77" t="s">
        <v>4014</v>
      </c>
    </row>
    <row r="1225">
      <c r="A1225" s="77" t="s">
        <v>4014</v>
      </c>
    </row>
    <row r="1226">
      <c r="A1226" s="77" t="s">
        <v>4014</v>
      </c>
    </row>
    <row r="1227">
      <c r="A1227" s="77" t="s">
        <v>4014</v>
      </c>
    </row>
    <row r="1228">
      <c r="A1228" s="77" t="s">
        <v>4014</v>
      </c>
    </row>
    <row r="1229">
      <c r="A1229" s="77" t="s">
        <v>4014</v>
      </c>
    </row>
    <row r="1230">
      <c r="A1230" s="77" t="s">
        <v>4014</v>
      </c>
    </row>
    <row r="1231">
      <c r="A1231" s="77" t="s">
        <v>4014</v>
      </c>
    </row>
    <row r="1232">
      <c r="A1232" s="77" t="s">
        <v>4014</v>
      </c>
    </row>
    <row r="1233">
      <c r="A1233" s="77" t="s">
        <v>4014</v>
      </c>
    </row>
    <row r="1234">
      <c r="A1234" s="77" t="s">
        <v>4014</v>
      </c>
    </row>
    <row r="1235">
      <c r="A1235" s="77" t="s">
        <v>4014</v>
      </c>
    </row>
    <row r="1236">
      <c r="A1236" s="77" t="s">
        <v>4014</v>
      </c>
    </row>
    <row r="1237">
      <c r="A1237" s="77" t="s">
        <v>4014</v>
      </c>
    </row>
    <row r="1238">
      <c r="A1238" s="77" t="s">
        <v>4014</v>
      </c>
    </row>
    <row r="1239">
      <c r="A1239" s="77" t="s">
        <v>4014</v>
      </c>
    </row>
    <row r="1240">
      <c r="A1240" s="77" t="s">
        <v>4014</v>
      </c>
    </row>
    <row r="1241">
      <c r="A1241" s="77" t="s">
        <v>4014</v>
      </c>
    </row>
    <row r="1242">
      <c r="A1242" s="77" t="s">
        <v>4014</v>
      </c>
    </row>
    <row r="1243">
      <c r="A1243" s="77" t="s">
        <v>4014</v>
      </c>
    </row>
    <row r="1244">
      <c r="A1244" s="77" t="s">
        <v>4014</v>
      </c>
    </row>
    <row r="1245">
      <c r="A1245" s="77" t="s">
        <v>4014</v>
      </c>
    </row>
    <row r="1246">
      <c r="A1246" s="77" t="s">
        <v>4014</v>
      </c>
    </row>
    <row r="1247">
      <c r="A1247" s="77" t="s">
        <v>4014</v>
      </c>
    </row>
    <row r="1248">
      <c r="A1248" s="77" t="s">
        <v>4014</v>
      </c>
    </row>
    <row r="1249">
      <c r="A1249" s="77" t="s">
        <v>4014</v>
      </c>
    </row>
    <row r="1250">
      <c r="A1250" s="77" t="s">
        <v>4014</v>
      </c>
    </row>
    <row r="1251">
      <c r="A1251" s="77" t="s">
        <v>4014</v>
      </c>
    </row>
    <row r="1252">
      <c r="A1252" s="77" t="s">
        <v>4014</v>
      </c>
    </row>
    <row r="1253">
      <c r="A1253" s="77" t="s">
        <v>4014</v>
      </c>
    </row>
    <row r="1254">
      <c r="A1254" s="77" t="s">
        <v>4014</v>
      </c>
    </row>
    <row r="1255">
      <c r="A1255" s="77" t="s">
        <v>4014</v>
      </c>
    </row>
    <row r="1256">
      <c r="A1256" s="77" t="s">
        <v>4014</v>
      </c>
    </row>
    <row r="1257">
      <c r="A1257" s="77" t="s">
        <v>4014</v>
      </c>
    </row>
    <row r="1258">
      <c r="A1258" s="77" t="s">
        <v>4014</v>
      </c>
    </row>
    <row r="1259">
      <c r="A1259" s="77" t="s">
        <v>4014</v>
      </c>
    </row>
    <row r="1260">
      <c r="A1260" s="77" t="s">
        <v>4014</v>
      </c>
    </row>
    <row r="1261">
      <c r="A1261" s="77" t="s">
        <v>4014</v>
      </c>
    </row>
    <row r="1262">
      <c r="A1262" s="77" t="s">
        <v>4014</v>
      </c>
    </row>
    <row r="1263">
      <c r="A1263" s="77" t="s">
        <v>4014</v>
      </c>
    </row>
    <row r="1264">
      <c r="A1264" s="77" t="s">
        <v>4014</v>
      </c>
    </row>
    <row r="1265">
      <c r="A1265" s="77" t="s">
        <v>4014</v>
      </c>
    </row>
    <row r="1266">
      <c r="A1266" s="77" t="s">
        <v>4014</v>
      </c>
    </row>
    <row r="1267">
      <c r="A1267" s="77" t="s">
        <v>4014</v>
      </c>
    </row>
    <row r="1268">
      <c r="A1268" s="77" t="s">
        <v>4014</v>
      </c>
    </row>
    <row r="1269">
      <c r="A1269" s="77" t="s">
        <v>4014</v>
      </c>
    </row>
    <row r="1270">
      <c r="A1270" s="77" t="s">
        <v>4014</v>
      </c>
    </row>
    <row r="1271">
      <c r="A1271" s="77" t="s">
        <v>4014</v>
      </c>
    </row>
    <row r="1272">
      <c r="A1272" s="77" t="s">
        <v>4014</v>
      </c>
    </row>
    <row r="1273">
      <c r="A1273" s="77" t="s">
        <v>4014</v>
      </c>
    </row>
    <row r="1274">
      <c r="A1274" s="77" t="s">
        <v>4014</v>
      </c>
    </row>
    <row r="1275">
      <c r="A1275" s="77" t="s">
        <v>4014</v>
      </c>
    </row>
    <row r="1276">
      <c r="A1276" s="77" t="s">
        <v>4014</v>
      </c>
    </row>
    <row r="1277">
      <c r="A1277" s="77" t="s">
        <v>4014</v>
      </c>
    </row>
    <row r="1278">
      <c r="A1278" s="77" t="s">
        <v>4014</v>
      </c>
    </row>
    <row r="1279">
      <c r="A1279" s="77" t="s">
        <v>4014</v>
      </c>
    </row>
    <row r="1280">
      <c r="A1280" s="77" t="s">
        <v>4014</v>
      </c>
    </row>
    <row r="1281">
      <c r="A1281" s="77" t="s">
        <v>4014</v>
      </c>
    </row>
    <row r="1282">
      <c r="A1282" s="77" t="s">
        <v>4014</v>
      </c>
    </row>
    <row r="1283">
      <c r="A1283" s="77" t="s">
        <v>4014</v>
      </c>
    </row>
    <row r="1284">
      <c r="A1284" s="77" t="s">
        <v>4014</v>
      </c>
    </row>
    <row r="1285">
      <c r="A1285" s="77" t="s">
        <v>4014</v>
      </c>
    </row>
    <row r="1286">
      <c r="A1286" s="77" t="s">
        <v>4014</v>
      </c>
    </row>
    <row r="1287">
      <c r="A1287" s="77" t="s">
        <v>4014</v>
      </c>
    </row>
    <row r="1288">
      <c r="A1288" s="77" t="s">
        <v>4014</v>
      </c>
    </row>
    <row r="1289">
      <c r="A1289" s="77" t="s">
        <v>4014</v>
      </c>
    </row>
    <row r="1290">
      <c r="A1290" s="77" t="s">
        <v>4014</v>
      </c>
    </row>
    <row r="1291">
      <c r="A1291" s="77" t="s">
        <v>4014</v>
      </c>
    </row>
    <row r="1292">
      <c r="A1292" s="77" t="s">
        <v>4014</v>
      </c>
    </row>
    <row r="1293">
      <c r="A1293" s="77" t="s">
        <v>4014</v>
      </c>
    </row>
    <row r="1294">
      <c r="A1294" s="77" t="s">
        <v>4014</v>
      </c>
    </row>
    <row r="1295">
      <c r="A1295" s="77" t="s">
        <v>4014</v>
      </c>
    </row>
    <row r="1296">
      <c r="A1296" s="77" t="s">
        <v>4014</v>
      </c>
    </row>
    <row r="1297">
      <c r="A1297" s="77" t="s">
        <v>4014</v>
      </c>
    </row>
    <row r="1298">
      <c r="A1298" s="77" t="s">
        <v>4014</v>
      </c>
    </row>
    <row r="1299">
      <c r="A1299" s="77" t="s">
        <v>4014</v>
      </c>
    </row>
    <row r="1300">
      <c r="A1300" s="77" t="s">
        <v>4014</v>
      </c>
    </row>
    <row r="1301">
      <c r="A1301" s="77" t="s">
        <v>4014</v>
      </c>
    </row>
    <row r="1302">
      <c r="A1302" s="77" t="s">
        <v>4014</v>
      </c>
    </row>
    <row r="1303">
      <c r="A1303" s="77" t="s">
        <v>4014</v>
      </c>
    </row>
    <row r="1304">
      <c r="A1304" s="77" t="s">
        <v>4014</v>
      </c>
    </row>
    <row r="1305">
      <c r="A1305" s="77" t="s">
        <v>4014</v>
      </c>
    </row>
    <row r="1306">
      <c r="A1306" s="77" t="s">
        <v>4014</v>
      </c>
    </row>
    <row r="1307">
      <c r="A1307" s="77" t="s">
        <v>4014</v>
      </c>
    </row>
    <row r="1308">
      <c r="A1308" s="77" t="s">
        <v>4014</v>
      </c>
    </row>
    <row r="1309">
      <c r="A1309" s="77" t="s">
        <v>4014</v>
      </c>
    </row>
    <row r="1310">
      <c r="A1310" s="77" t="s">
        <v>4014</v>
      </c>
    </row>
    <row r="1311">
      <c r="A1311" s="77" t="s">
        <v>4014</v>
      </c>
    </row>
    <row r="1312">
      <c r="A1312" s="77" t="s">
        <v>4014</v>
      </c>
    </row>
    <row r="1313">
      <c r="A1313" s="77" t="s">
        <v>4014</v>
      </c>
    </row>
    <row r="1314">
      <c r="A1314" s="77" t="s">
        <v>4014</v>
      </c>
    </row>
    <row r="1315">
      <c r="A1315" s="77" t="s">
        <v>4014</v>
      </c>
    </row>
    <row r="1316">
      <c r="A1316" s="77" t="s">
        <v>4014</v>
      </c>
    </row>
    <row r="1317">
      <c r="A1317" s="77" t="s">
        <v>4014</v>
      </c>
    </row>
    <row r="1318">
      <c r="A1318" s="77" t="s">
        <v>4014</v>
      </c>
    </row>
    <row r="1319">
      <c r="A1319" s="77" t="s">
        <v>4014</v>
      </c>
    </row>
    <row r="1320">
      <c r="A1320" s="77" t="s">
        <v>4014</v>
      </c>
    </row>
    <row r="1321">
      <c r="A1321" s="77" t="s">
        <v>4014</v>
      </c>
    </row>
    <row r="1322">
      <c r="A1322" s="77" t="s">
        <v>4014</v>
      </c>
    </row>
    <row r="1323">
      <c r="A1323" s="77" t="s">
        <v>4014</v>
      </c>
    </row>
    <row r="1324">
      <c r="A1324" s="77" t="s">
        <v>4014</v>
      </c>
    </row>
    <row r="1325">
      <c r="A1325" s="77" t="s">
        <v>4014</v>
      </c>
    </row>
    <row r="1326">
      <c r="A1326" s="77" t="s">
        <v>4014</v>
      </c>
    </row>
    <row r="1327">
      <c r="A1327" s="77" t="s">
        <v>4014</v>
      </c>
    </row>
    <row r="1328">
      <c r="A1328" s="77" t="s">
        <v>4014</v>
      </c>
    </row>
    <row r="1329">
      <c r="A1329" s="77" t="s">
        <v>4014</v>
      </c>
    </row>
    <row r="1330">
      <c r="A1330" s="77" t="s">
        <v>4014</v>
      </c>
    </row>
    <row r="1331">
      <c r="A1331" s="77" t="s">
        <v>4014</v>
      </c>
    </row>
    <row r="1332">
      <c r="A1332" s="77" t="s">
        <v>4014</v>
      </c>
    </row>
    <row r="1333">
      <c r="A1333" s="77" t="s">
        <v>4014</v>
      </c>
    </row>
    <row r="1334">
      <c r="A1334" s="77" t="s">
        <v>4014</v>
      </c>
    </row>
    <row r="1335">
      <c r="A1335" s="77" t="s">
        <v>4014</v>
      </c>
    </row>
    <row r="1336">
      <c r="A1336" s="77" t="s">
        <v>4014</v>
      </c>
    </row>
    <row r="1337">
      <c r="A1337" s="77" t="s">
        <v>4014</v>
      </c>
    </row>
    <row r="1338">
      <c r="A1338" s="77" t="s">
        <v>4014</v>
      </c>
    </row>
    <row r="1339">
      <c r="A1339" s="77" t="s">
        <v>4014</v>
      </c>
    </row>
    <row r="1340">
      <c r="A1340" s="77" t="s">
        <v>4014</v>
      </c>
    </row>
    <row r="1341">
      <c r="A1341" s="77" t="s">
        <v>4014</v>
      </c>
    </row>
    <row r="1342">
      <c r="A1342" s="77" t="s">
        <v>4014</v>
      </c>
    </row>
    <row r="1343">
      <c r="A1343" s="77" t="s">
        <v>4014</v>
      </c>
    </row>
    <row r="1344">
      <c r="A1344" s="77" t="s">
        <v>4014</v>
      </c>
    </row>
    <row r="1345">
      <c r="A1345" s="77" t="s">
        <v>4014</v>
      </c>
    </row>
    <row r="1346">
      <c r="A1346" s="77" t="s">
        <v>4014</v>
      </c>
    </row>
    <row r="1347">
      <c r="A1347" s="77" t="s">
        <v>4014</v>
      </c>
    </row>
    <row r="1348">
      <c r="A1348" s="77" t="s">
        <v>4014</v>
      </c>
    </row>
    <row r="1349">
      <c r="A1349" s="77" t="s">
        <v>4014</v>
      </c>
    </row>
    <row r="1350">
      <c r="A1350" s="77" t="s">
        <v>4014</v>
      </c>
    </row>
    <row r="1351">
      <c r="A1351" s="77" t="s">
        <v>4014</v>
      </c>
    </row>
    <row r="1352">
      <c r="A1352" s="77" t="s">
        <v>4014</v>
      </c>
    </row>
    <row r="1353">
      <c r="A1353" s="77" t="s">
        <v>4014</v>
      </c>
    </row>
    <row r="1354">
      <c r="A1354" s="77" t="s">
        <v>4014</v>
      </c>
    </row>
    <row r="1355">
      <c r="A1355" s="77" t="s">
        <v>4014</v>
      </c>
    </row>
    <row r="1356">
      <c r="A1356" s="77" t="s">
        <v>4014</v>
      </c>
    </row>
    <row r="1357">
      <c r="A1357" s="77" t="s">
        <v>4014</v>
      </c>
    </row>
    <row r="1358">
      <c r="A1358" s="77" t="s">
        <v>4014</v>
      </c>
    </row>
    <row r="1359">
      <c r="A1359" s="77" t="s">
        <v>4014</v>
      </c>
    </row>
    <row r="1360">
      <c r="A1360" s="77" t="s">
        <v>4014</v>
      </c>
    </row>
    <row r="1361">
      <c r="A1361" s="77" t="s">
        <v>4014</v>
      </c>
    </row>
    <row r="1362">
      <c r="A1362" s="77" t="s">
        <v>4014</v>
      </c>
    </row>
    <row r="1363">
      <c r="A1363" s="77" t="s">
        <v>4014</v>
      </c>
    </row>
    <row r="1364">
      <c r="A1364" s="77" t="s">
        <v>4014</v>
      </c>
    </row>
    <row r="1365">
      <c r="A1365" s="77" t="s">
        <v>4014</v>
      </c>
    </row>
    <row r="1366">
      <c r="A1366" s="77" t="s">
        <v>4014</v>
      </c>
    </row>
    <row r="1367">
      <c r="A1367" s="77" t="s">
        <v>4014</v>
      </c>
    </row>
    <row r="1368">
      <c r="A1368" s="77" t="s">
        <v>4014</v>
      </c>
    </row>
    <row r="1369">
      <c r="A1369" s="77" t="s">
        <v>4014</v>
      </c>
    </row>
    <row r="1370">
      <c r="A1370" s="77" t="s">
        <v>4014</v>
      </c>
    </row>
    <row r="1371">
      <c r="A1371" s="77" t="s">
        <v>4014</v>
      </c>
    </row>
    <row r="1372">
      <c r="A1372" s="77" t="s">
        <v>4014</v>
      </c>
    </row>
    <row r="1373">
      <c r="A1373" s="77" t="s">
        <v>4014</v>
      </c>
    </row>
    <row r="1374">
      <c r="A1374" s="77" t="s">
        <v>4014</v>
      </c>
    </row>
    <row r="1375">
      <c r="A1375" s="77" t="s">
        <v>4014</v>
      </c>
    </row>
    <row r="1376">
      <c r="A1376" s="77" t="s">
        <v>4014</v>
      </c>
    </row>
    <row r="1377">
      <c r="A1377" s="77" t="s">
        <v>4014</v>
      </c>
    </row>
    <row r="1378">
      <c r="A1378" s="77" t="s">
        <v>4014</v>
      </c>
    </row>
    <row r="1379">
      <c r="A1379" s="77" t="s">
        <v>4014</v>
      </c>
    </row>
    <row r="1380">
      <c r="A1380" s="77" t="s">
        <v>4014</v>
      </c>
    </row>
    <row r="1381">
      <c r="A1381" s="77" t="s">
        <v>4014</v>
      </c>
    </row>
    <row r="1382">
      <c r="A1382" s="77" t="s">
        <v>4014</v>
      </c>
    </row>
    <row r="1383">
      <c r="A1383" s="77" t="s">
        <v>4014</v>
      </c>
    </row>
    <row r="1384">
      <c r="A1384" s="77" t="s">
        <v>4014</v>
      </c>
    </row>
    <row r="1385">
      <c r="A1385" s="77" t="s">
        <v>4014</v>
      </c>
    </row>
    <row r="1386">
      <c r="A1386" s="77" t="s">
        <v>4014</v>
      </c>
    </row>
    <row r="1387">
      <c r="A1387" s="77" t="s">
        <v>4014</v>
      </c>
    </row>
    <row r="1388">
      <c r="A1388" s="77" t="s">
        <v>4014</v>
      </c>
    </row>
    <row r="1389">
      <c r="A1389" s="77" t="s">
        <v>4014</v>
      </c>
    </row>
    <row r="1390">
      <c r="A1390" s="77" t="s">
        <v>4014</v>
      </c>
    </row>
    <row r="1391">
      <c r="A1391" s="77" t="s">
        <v>4014</v>
      </c>
    </row>
    <row r="1392">
      <c r="A1392" s="77" t="s">
        <v>4014</v>
      </c>
    </row>
    <row r="1393">
      <c r="A1393" s="77" t="s">
        <v>4014</v>
      </c>
    </row>
    <row r="1394">
      <c r="A1394" s="77" t="s">
        <v>4014</v>
      </c>
    </row>
    <row r="1395">
      <c r="A1395" s="77" t="s">
        <v>4014</v>
      </c>
    </row>
    <row r="1396">
      <c r="A1396" s="77" t="s">
        <v>4014</v>
      </c>
    </row>
    <row r="1397">
      <c r="A1397" s="77" t="s">
        <v>4014</v>
      </c>
    </row>
    <row r="1398">
      <c r="A1398" s="77" t="s">
        <v>4014</v>
      </c>
    </row>
    <row r="1399">
      <c r="A1399" s="77" t="s">
        <v>4014</v>
      </c>
    </row>
    <row r="1400">
      <c r="A1400" s="77" t="s">
        <v>4014</v>
      </c>
    </row>
    <row r="1401">
      <c r="A1401" s="77" t="s">
        <v>4014</v>
      </c>
    </row>
    <row r="1402">
      <c r="A1402" s="77" t="s">
        <v>4014</v>
      </c>
    </row>
    <row r="1403">
      <c r="A1403" s="77" t="s">
        <v>4014</v>
      </c>
    </row>
    <row r="1404">
      <c r="A1404" s="77" t="s">
        <v>4014</v>
      </c>
    </row>
    <row r="1405">
      <c r="A1405" s="77" t="s">
        <v>4014</v>
      </c>
    </row>
    <row r="1406">
      <c r="A1406" s="77" t="s">
        <v>4014</v>
      </c>
    </row>
    <row r="1407">
      <c r="A1407" s="77" t="s">
        <v>4014</v>
      </c>
    </row>
    <row r="1408">
      <c r="A1408" s="77" t="s">
        <v>4014</v>
      </c>
    </row>
    <row r="1409">
      <c r="A1409" s="77" t="s">
        <v>4014</v>
      </c>
    </row>
    <row r="1410">
      <c r="A1410" s="77" t="s">
        <v>4014</v>
      </c>
    </row>
    <row r="1411">
      <c r="A1411" s="77" t="s">
        <v>4014</v>
      </c>
    </row>
    <row r="1412">
      <c r="A1412" s="77" t="s">
        <v>4014</v>
      </c>
    </row>
    <row r="1413">
      <c r="A1413" s="77" t="s">
        <v>4014</v>
      </c>
    </row>
    <row r="1414">
      <c r="A1414" s="77" t="s">
        <v>4014</v>
      </c>
    </row>
    <row r="1415">
      <c r="A1415" s="77" t="s">
        <v>4014</v>
      </c>
    </row>
    <row r="1416">
      <c r="A1416" s="77" t="s">
        <v>4014</v>
      </c>
    </row>
    <row r="1417">
      <c r="A1417" s="77" t="s">
        <v>4014</v>
      </c>
    </row>
    <row r="1418">
      <c r="A1418" s="77" t="s">
        <v>4014</v>
      </c>
    </row>
    <row r="1419">
      <c r="A1419" s="77" t="s">
        <v>4014</v>
      </c>
    </row>
    <row r="1420">
      <c r="A1420" s="77" t="s">
        <v>4014</v>
      </c>
    </row>
    <row r="1421">
      <c r="A1421" s="77" t="s">
        <v>4014</v>
      </c>
    </row>
    <row r="1422">
      <c r="A1422" s="77" t="s">
        <v>4014</v>
      </c>
    </row>
    <row r="1423">
      <c r="A1423" s="77" t="s">
        <v>4014</v>
      </c>
    </row>
    <row r="1424">
      <c r="A1424" s="77" t="s">
        <v>4014</v>
      </c>
    </row>
    <row r="1425">
      <c r="A1425" s="77" t="s">
        <v>4014</v>
      </c>
    </row>
    <row r="1426">
      <c r="A1426" s="77" t="s">
        <v>4014</v>
      </c>
    </row>
    <row r="1427">
      <c r="A1427" s="77" t="s">
        <v>4014</v>
      </c>
    </row>
    <row r="1428">
      <c r="A1428" s="77" t="s">
        <v>4014</v>
      </c>
    </row>
    <row r="1429">
      <c r="A1429" s="77" t="s">
        <v>4014</v>
      </c>
    </row>
    <row r="1430">
      <c r="A1430" s="77" t="s">
        <v>4014</v>
      </c>
    </row>
    <row r="1431">
      <c r="A1431" s="77" t="s">
        <v>4014</v>
      </c>
    </row>
    <row r="1432">
      <c r="A1432" s="77" t="s">
        <v>4014</v>
      </c>
    </row>
    <row r="1433">
      <c r="A1433" s="77" t="s">
        <v>4014</v>
      </c>
    </row>
    <row r="1434">
      <c r="A1434" s="77" t="s">
        <v>4014</v>
      </c>
    </row>
    <row r="1435">
      <c r="A1435" s="77" t="s">
        <v>4014</v>
      </c>
    </row>
    <row r="1436">
      <c r="A1436" s="77" t="s">
        <v>4014</v>
      </c>
    </row>
    <row r="1437">
      <c r="A1437" s="77" t="s">
        <v>4014</v>
      </c>
    </row>
    <row r="1438">
      <c r="A1438" s="77" t="s">
        <v>4014</v>
      </c>
    </row>
    <row r="1439">
      <c r="A1439" s="77" t="s">
        <v>4014</v>
      </c>
    </row>
    <row r="1440">
      <c r="A1440" s="77" t="s">
        <v>4014</v>
      </c>
    </row>
    <row r="1441">
      <c r="A1441" s="77" t="s">
        <v>4014</v>
      </c>
    </row>
    <row r="1442">
      <c r="A1442" s="77" t="s">
        <v>4014</v>
      </c>
    </row>
    <row r="1443">
      <c r="A1443" s="77" t="s">
        <v>4014</v>
      </c>
    </row>
    <row r="1444">
      <c r="A1444" s="77" t="s">
        <v>4014</v>
      </c>
    </row>
    <row r="1445">
      <c r="A1445" s="77" t="s">
        <v>4014</v>
      </c>
    </row>
    <row r="1446">
      <c r="A1446" s="77" t="s">
        <v>4014</v>
      </c>
    </row>
    <row r="1447">
      <c r="A1447" s="77" t="s">
        <v>4014</v>
      </c>
    </row>
    <row r="1448">
      <c r="A1448" s="77" t="s">
        <v>4014</v>
      </c>
    </row>
    <row r="1449">
      <c r="A1449" s="77" t="s">
        <v>4014</v>
      </c>
    </row>
    <row r="1450">
      <c r="A1450" s="77" t="s">
        <v>4014</v>
      </c>
    </row>
    <row r="1451">
      <c r="A1451" s="77" t="s">
        <v>4014</v>
      </c>
    </row>
    <row r="1452">
      <c r="A1452" s="77" t="s">
        <v>4014</v>
      </c>
    </row>
    <row r="1453">
      <c r="A1453" s="77" t="s">
        <v>4014</v>
      </c>
    </row>
    <row r="1454">
      <c r="A1454" s="77" t="s">
        <v>4014</v>
      </c>
    </row>
    <row r="1455">
      <c r="A1455" s="77" t="s">
        <v>4014</v>
      </c>
    </row>
    <row r="1456">
      <c r="A1456" s="77" t="s">
        <v>4014</v>
      </c>
    </row>
    <row r="1457">
      <c r="A1457" s="77" t="s">
        <v>4014</v>
      </c>
    </row>
    <row r="1458">
      <c r="A1458" s="77" t="s">
        <v>4014</v>
      </c>
    </row>
    <row r="1459">
      <c r="A1459" s="77" t="s">
        <v>4014</v>
      </c>
    </row>
    <row r="1460">
      <c r="A1460" s="77" t="s">
        <v>4014</v>
      </c>
    </row>
    <row r="1461">
      <c r="A1461" s="77" t="s">
        <v>4014</v>
      </c>
    </row>
    <row r="1462">
      <c r="A1462" s="77" t="s">
        <v>4014</v>
      </c>
    </row>
    <row r="1463">
      <c r="A1463" s="77" t="s">
        <v>4014</v>
      </c>
    </row>
    <row r="1464">
      <c r="A1464" s="77" t="s">
        <v>4014</v>
      </c>
    </row>
    <row r="1465">
      <c r="A1465" s="77" t="s">
        <v>4014</v>
      </c>
    </row>
    <row r="1466">
      <c r="A1466" s="77" t="s">
        <v>4014</v>
      </c>
    </row>
    <row r="1467">
      <c r="A1467" s="77" t="s">
        <v>4014</v>
      </c>
    </row>
    <row r="1468">
      <c r="A1468" s="77" t="s">
        <v>4014</v>
      </c>
    </row>
    <row r="1469">
      <c r="A1469" s="77" t="s">
        <v>4014</v>
      </c>
    </row>
    <row r="1470">
      <c r="A1470" s="77" t="s">
        <v>4014</v>
      </c>
    </row>
    <row r="1471">
      <c r="A1471" s="77" t="s">
        <v>4014</v>
      </c>
    </row>
    <row r="1472">
      <c r="A1472" s="77" t="s">
        <v>4014</v>
      </c>
    </row>
    <row r="1473">
      <c r="A1473" s="77" t="s">
        <v>4014</v>
      </c>
    </row>
    <row r="1474">
      <c r="A1474" s="77" t="s">
        <v>4014</v>
      </c>
    </row>
    <row r="1475">
      <c r="A1475" s="77" t="s">
        <v>4014</v>
      </c>
    </row>
    <row r="1476">
      <c r="A1476" s="77" t="s">
        <v>4014</v>
      </c>
    </row>
    <row r="1477">
      <c r="A1477" s="77" t="s">
        <v>4014</v>
      </c>
    </row>
    <row r="1478">
      <c r="A1478" s="77" t="s">
        <v>4014</v>
      </c>
    </row>
    <row r="1479">
      <c r="A1479" s="77" t="s">
        <v>4014</v>
      </c>
    </row>
    <row r="1480">
      <c r="A1480" s="77" t="s">
        <v>4014</v>
      </c>
    </row>
    <row r="1481">
      <c r="A1481" s="77" t="s">
        <v>4014</v>
      </c>
    </row>
    <row r="1482">
      <c r="A1482" s="77" t="s">
        <v>4014</v>
      </c>
    </row>
    <row r="1483">
      <c r="A1483" s="77" t="s">
        <v>4014</v>
      </c>
    </row>
    <row r="1484">
      <c r="A1484" s="77" t="s">
        <v>4014</v>
      </c>
    </row>
    <row r="1485">
      <c r="A1485" s="77" t="s">
        <v>4014</v>
      </c>
    </row>
    <row r="1486">
      <c r="A1486" s="77" t="s">
        <v>4014</v>
      </c>
    </row>
    <row r="1487">
      <c r="A1487" s="77" t="s">
        <v>4014</v>
      </c>
    </row>
    <row r="1488">
      <c r="A1488" s="77" t="s">
        <v>4014</v>
      </c>
    </row>
    <row r="1489">
      <c r="A1489" s="77" t="s">
        <v>4014</v>
      </c>
    </row>
    <row r="1490">
      <c r="A1490" s="77" t="s">
        <v>4014</v>
      </c>
    </row>
    <row r="1491">
      <c r="A1491" s="77" t="s">
        <v>4014</v>
      </c>
    </row>
    <row r="1492">
      <c r="A1492" s="77" t="s">
        <v>4014</v>
      </c>
    </row>
    <row r="1493">
      <c r="A1493" s="77" t="s">
        <v>4014</v>
      </c>
    </row>
    <row r="1494">
      <c r="A1494" s="77" t="s">
        <v>4014</v>
      </c>
    </row>
    <row r="1495">
      <c r="A1495" s="77" t="s">
        <v>4014</v>
      </c>
    </row>
    <row r="1496">
      <c r="A1496" s="77" t="s">
        <v>4014</v>
      </c>
    </row>
    <row r="1497">
      <c r="A1497" s="77" t="s">
        <v>4014</v>
      </c>
    </row>
    <row r="1498">
      <c r="A1498" s="77" t="s">
        <v>4014</v>
      </c>
    </row>
    <row r="1499">
      <c r="A1499" s="77" t="s">
        <v>4014</v>
      </c>
    </row>
    <row r="1500">
      <c r="A1500" s="77" t="s">
        <v>4014</v>
      </c>
    </row>
    <row r="1501">
      <c r="A1501" s="77" t="s">
        <v>4014</v>
      </c>
    </row>
    <row r="1502">
      <c r="A1502" s="77" t="s">
        <v>4014</v>
      </c>
    </row>
    <row r="1503">
      <c r="A1503" s="77" t="s">
        <v>4014</v>
      </c>
    </row>
    <row r="1504">
      <c r="A1504" s="77" t="s">
        <v>4014</v>
      </c>
    </row>
    <row r="1505">
      <c r="A1505" s="77" t="s">
        <v>4014</v>
      </c>
    </row>
    <row r="1506">
      <c r="A1506" s="77" t="s">
        <v>4014</v>
      </c>
    </row>
    <row r="1507">
      <c r="A1507" s="77" t="s">
        <v>4014</v>
      </c>
    </row>
    <row r="1508">
      <c r="A1508" s="77" t="s">
        <v>4014</v>
      </c>
    </row>
    <row r="1509">
      <c r="A1509" s="77" t="s">
        <v>4014</v>
      </c>
    </row>
    <row r="1510">
      <c r="A1510" s="77" t="s">
        <v>4014</v>
      </c>
    </row>
    <row r="1511">
      <c r="A1511" s="77" t="s">
        <v>4014</v>
      </c>
    </row>
    <row r="1512">
      <c r="A1512" s="77" t="s">
        <v>4014</v>
      </c>
    </row>
    <row r="1513">
      <c r="A1513" s="77" t="s">
        <v>4014</v>
      </c>
    </row>
    <row r="1514">
      <c r="A1514" s="77" t="s">
        <v>4014</v>
      </c>
    </row>
    <row r="1515">
      <c r="A1515" s="77" t="s">
        <v>4014</v>
      </c>
    </row>
    <row r="1516">
      <c r="A1516" s="77" t="s">
        <v>4014</v>
      </c>
    </row>
    <row r="1517">
      <c r="A1517" s="77" t="s">
        <v>4014</v>
      </c>
    </row>
    <row r="1518">
      <c r="A1518" s="77" t="s">
        <v>4014</v>
      </c>
    </row>
    <row r="1519">
      <c r="A1519" s="77" t="s">
        <v>4014</v>
      </c>
    </row>
    <row r="1520">
      <c r="A1520" s="77" t="s">
        <v>4014</v>
      </c>
    </row>
    <row r="1521">
      <c r="A1521" s="77" t="s">
        <v>4014</v>
      </c>
    </row>
    <row r="1522">
      <c r="A1522" s="77" t="s">
        <v>4014</v>
      </c>
    </row>
    <row r="1523">
      <c r="A1523" s="77" t="s">
        <v>4014</v>
      </c>
    </row>
    <row r="1524">
      <c r="A1524" s="77" t="s">
        <v>4014</v>
      </c>
    </row>
    <row r="1525">
      <c r="A1525" s="77" t="s">
        <v>4014</v>
      </c>
    </row>
    <row r="1526">
      <c r="A1526" s="77" t="s">
        <v>4014</v>
      </c>
    </row>
    <row r="1527">
      <c r="A1527" s="77" t="s">
        <v>4014</v>
      </c>
    </row>
    <row r="1528">
      <c r="A1528" s="77" t="s">
        <v>4014</v>
      </c>
    </row>
    <row r="1529">
      <c r="A1529" s="77" t="s">
        <v>4014</v>
      </c>
    </row>
    <row r="1530">
      <c r="A1530" s="77" t="s">
        <v>4014</v>
      </c>
    </row>
    <row r="1531">
      <c r="A1531" s="77" t="s">
        <v>4014</v>
      </c>
    </row>
    <row r="1532">
      <c r="A1532" s="77" t="s">
        <v>4014</v>
      </c>
    </row>
    <row r="1533">
      <c r="A1533" s="77" t="s">
        <v>4014</v>
      </c>
    </row>
    <row r="1534">
      <c r="A1534" s="77" t="s">
        <v>4014</v>
      </c>
    </row>
    <row r="1535">
      <c r="A1535" s="77" t="s">
        <v>4014</v>
      </c>
    </row>
    <row r="1536">
      <c r="A1536" s="77" t="s">
        <v>4014</v>
      </c>
    </row>
    <row r="1537">
      <c r="A1537" s="77" t="s">
        <v>4014</v>
      </c>
    </row>
    <row r="1538">
      <c r="A1538" s="77" t="s">
        <v>4014</v>
      </c>
    </row>
    <row r="1539">
      <c r="A1539" s="77" t="s">
        <v>4014</v>
      </c>
    </row>
    <row r="1540">
      <c r="A1540" s="77" t="s">
        <v>4014</v>
      </c>
    </row>
    <row r="1541">
      <c r="A1541" s="77" t="s">
        <v>4014</v>
      </c>
    </row>
    <row r="1542">
      <c r="A1542" s="77" t="s">
        <v>4014</v>
      </c>
    </row>
    <row r="1543">
      <c r="A1543" s="77" t="s">
        <v>4014</v>
      </c>
    </row>
    <row r="1544">
      <c r="A1544" s="77" t="s">
        <v>4014</v>
      </c>
    </row>
    <row r="1545">
      <c r="A1545" s="77" t="s">
        <v>4014</v>
      </c>
    </row>
    <row r="1546">
      <c r="A1546" s="77" t="s">
        <v>4014</v>
      </c>
    </row>
    <row r="1547">
      <c r="A1547" s="77" t="s">
        <v>4014</v>
      </c>
    </row>
    <row r="1548">
      <c r="A1548" s="77" t="s">
        <v>4014</v>
      </c>
    </row>
    <row r="1549">
      <c r="A1549" s="77" t="s">
        <v>4014</v>
      </c>
    </row>
    <row r="1550">
      <c r="A1550" s="77" t="s">
        <v>4014</v>
      </c>
    </row>
    <row r="1551">
      <c r="A1551" s="77" t="s">
        <v>4014</v>
      </c>
    </row>
    <row r="1552">
      <c r="A1552" s="77" t="s">
        <v>4014</v>
      </c>
    </row>
    <row r="1553">
      <c r="A1553" s="77" t="s">
        <v>4014</v>
      </c>
    </row>
    <row r="1554">
      <c r="A1554" s="77" t="s">
        <v>4014</v>
      </c>
    </row>
    <row r="1555">
      <c r="A1555" s="77" t="s">
        <v>4014</v>
      </c>
    </row>
    <row r="1556">
      <c r="A1556" s="77" t="s">
        <v>4014</v>
      </c>
    </row>
    <row r="1557">
      <c r="A1557" s="77" t="s">
        <v>4014</v>
      </c>
    </row>
    <row r="1558">
      <c r="A1558" s="77" t="s">
        <v>4014</v>
      </c>
    </row>
    <row r="1559">
      <c r="A1559" s="77" t="s">
        <v>4014</v>
      </c>
    </row>
    <row r="1560">
      <c r="A1560" s="77" t="s">
        <v>4014</v>
      </c>
    </row>
    <row r="1561">
      <c r="A1561" s="77" t="s">
        <v>4014</v>
      </c>
    </row>
    <row r="1562">
      <c r="A1562" s="77" t="s">
        <v>4014</v>
      </c>
    </row>
    <row r="1563">
      <c r="A1563" s="77" t="s">
        <v>4014</v>
      </c>
    </row>
    <row r="1564">
      <c r="A1564" s="77" t="s">
        <v>4014</v>
      </c>
    </row>
    <row r="1565">
      <c r="A1565" s="77" t="s">
        <v>4014</v>
      </c>
    </row>
    <row r="1566">
      <c r="A1566" s="77" t="s">
        <v>4014</v>
      </c>
    </row>
    <row r="1567">
      <c r="A1567" s="77" t="s">
        <v>4014</v>
      </c>
    </row>
    <row r="1568">
      <c r="A1568" s="77" t="s">
        <v>4014</v>
      </c>
    </row>
    <row r="1569">
      <c r="A1569" s="77" t="s">
        <v>4014</v>
      </c>
    </row>
    <row r="1570">
      <c r="A1570" s="77" t="s">
        <v>4014</v>
      </c>
    </row>
    <row r="1571">
      <c r="A1571" s="77" t="s">
        <v>4014</v>
      </c>
    </row>
    <row r="1572">
      <c r="A1572" s="77" t="s">
        <v>4014</v>
      </c>
    </row>
    <row r="1573">
      <c r="A1573" s="77" t="s">
        <v>4014</v>
      </c>
    </row>
    <row r="1574">
      <c r="A1574" s="77" t="s">
        <v>4014</v>
      </c>
    </row>
    <row r="1575">
      <c r="A1575" s="77" t="s">
        <v>4014</v>
      </c>
    </row>
    <row r="1576">
      <c r="A1576" s="77" t="s">
        <v>4014</v>
      </c>
    </row>
    <row r="1577">
      <c r="A1577" s="77" t="s">
        <v>4014</v>
      </c>
    </row>
    <row r="1578">
      <c r="A1578" s="77" t="s">
        <v>4014</v>
      </c>
    </row>
    <row r="1579">
      <c r="A1579" s="77" t="s">
        <v>4014</v>
      </c>
    </row>
    <row r="1580">
      <c r="A1580" s="77" t="s">
        <v>4014</v>
      </c>
    </row>
    <row r="1581">
      <c r="A1581" s="77" t="s">
        <v>4014</v>
      </c>
    </row>
    <row r="1582">
      <c r="A1582" s="77" t="s">
        <v>4014</v>
      </c>
    </row>
    <row r="1583">
      <c r="A1583" s="77" t="s">
        <v>4014</v>
      </c>
    </row>
    <row r="1584">
      <c r="A1584" s="77" t="s">
        <v>4014</v>
      </c>
    </row>
    <row r="1585">
      <c r="A1585" s="77" t="s">
        <v>4014</v>
      </c>
    </row>
    <row r="1586">
      <c r="A1586" s="77" t="s">
        <v>4014</v>
      </c>
    </row>
    <row r="1587">
      <c r="A1587" s="77" t="s">
        <v>4014</v>
      </c>
    </row>
    <row r="1588">
      <c r="A1588" s="77" t="s">
        <v>4014</v>
      </c>
    </row>
    <row r="1589">
      <c r="A1589" s="77" t="s">
        <v>4014</v>
      </c>
    </row>
    <row r="1590">
      <c r="A1590" s="77" t="s">
        <v>4014</v>
      </c>
    </row>
    <row r="1591">
      <c r="A1591" s="77" t="s">
        <v>4014</v>
      </c>
    </row>
    <row r="1592">
      <c r="A1592" s="77" t="s">
        <v>4014</v>
      </c>
    </row>
    <row r="1593">
      <c r="A1593" s="77" t="s">
        <v>4014</v>
      </c>
    </row>
    <row r="1594">
      <c r="A1594" s="77" t="s">
        <v>4014</v>
      </c>
    </row>
    <row r="1595">
      <c r="A1595" s="77" t="s">
        <v>4014</v>
      </c>
    </row>
    <row r="1596">
      <c r="A1596" s="77" t="s">
        <v>4014</v>
      </c>
    </row>
    <row r="1597">
      <c r="A1597" s="77" t="s">
        <v>4014</v>
      </c>
    </row>
    <row r="1598">
      <c r="A1598" s="77" t="s">
        <v>4014</v>
      </c>
    </row>
    <row r="1599">
      <c r="A1599" s="77" t="s">
        <v>4014</v>
      </c>
    </row>
    <row r="1600">
      <c r="A1600" s="77" t="s">
        <v>4014</v>
      </c>
    </row>
    <row r="1601">
      <c r="A1601" s="77" t="s">
        <v>4014</v>
      </c>
    </row>
    <row r="1602">
      <c r="A1602" s="77" t="s">
        <v>4014</v>
      </c>
    </row>
    <row r="1603">
      <c r="A1603" s="77" t="s">
        <v>4014</v>
      </c>
    </row>
    <row r="1604">
      <c r="A1604" s="77" t="s">
        <v>4014</v>
      </c>
    </row>
    <row r="1605">
      <c r="A1605" s="77" t="s">
        <v>4014</v>
      </c>
    </row>
    <row r="1606">
      <c r="A1606" s="77" t="s">
        <v>4014</v>
      </c>
    </row>
    <row r="1607">
      <c r="A1607" s="77" t="s">
        <v>4014</v>
      </c>
    </row>
    <row r="1608">
      <c r="A1608" s="77" t="s">
        <v>4014</v>
      </c>
    </row>
    <row r="1609">
      <c r="A1609" s="77" t="s">
        <v>4014</v>
      </c>
    </row>
    <row r="1610">
      <c r="A1610" s="77" t="s">
        <v>4014</v>
      </c>
    </row>
    <row r="1611">
      <c r="A1611" s="77" t="s">
        <v>4014</v>
      </c>
    </row>
    <row r="1612">
      <c r="A1612" s="77" t="s">
        <v>4014</v>
      </c>
    </row>
    <row r="1613">
      <c r="A1613" s="77" t="s">
        <v>4014</v>
      </c>
    </row>
    <row r="1614">
      <c r="A1614" s="77" t="s">
        <v>4014</v>
      </c>
    </row>
    <row r="1615">
      <c r="A1615" s="77" t="s">
        <v>4014</v>
      </c>
    </row>
    <row r="1616">
      <c r="A1616" s="77" t="s">
        <v>4014</v>
      </c>
    </row>
    <row r="1617">
      <c r="A1617" s="77" t="s">
        <v>4014</v>
      </c>
    </row>
    <row r="1618">
      <c r="A1618" s="77" t="s">
        <v>4014</v>
      </c>
    </row>
    <row r="1619">
      <c r="A1619" s="77" t="s">
        <v>4014</v>
      </c>
    </row>
    <row r="1620">
      <c r="A1620" s="77" t="s">
        <v>4014</v>
      </c>
    </row>
    <row r="1621">
      <c r="A1621" s="77" t="s">
        <v>4014</v>
      </c>
    </row>
    <row r="1622">
      <c r="A1622" s="77" t="s">
        <v>4014</v>
      </c>
    </row>
    <row r="1623">
      <c r="A1623" s="77" t="s">
        <v>4014</v>
      </c>
    </row>
    <row r="1624">
      <c r="A1624" s="77" t="s">
        <v>4014</v>
      </c>
    </row>
    <row r="1625">
      <c r="A1625" s="77" t="s">
        <v>4014</v>
      </c>
    </row>
    <row r="1626">
      <c r="A1626" s="77" t="s">
        <v>4014</v>
      </c>
    </row>
    <row r="1627">
      <c r="A1627" s="77" t="s">
        <v>4014</v>
      </c>
    </row>
    <row r="1628">
      <c r="A1628" s="77" t="s">
        <v>4014</v>
      </c>
    </row>
    <row r="1629">
      <c r="A1629" s="77" t="s">
        <v>4014</v>
      </c>
    </row>
    <row r="1630">
      <c r="A1630" s="77" t="s">
        <v>4014</v>
      </c>
    </row>
    <row r="1631">
      <c r="A1631" s="77" t="s">
        <v>4014</v>
      </c>
    </row>
    <row r="1632">
      <c r="A1632" s="77" t="s">
        <v>4014</v>
      </c>
    </row>
    <row r="1633">
      <c r="A1633" s="77" t="s">
        <v>4014</v>
      </c>
    </row>
    <row r="1634">
      <c r="A1634" s="77" t="s">
        <v>4014</v>
      </c>
    </row>
    <row r="1635">
      <c r="A1635" s="77" t="s">
        <v>4014</v>
      </c>
    </row>
    <row r="1636">
      <c r="A1636" s="77" t="s">
        <v>4014</v>
      </c>
    </row>
    <row r="1637">
      <c r="A1637" s="77" t="s">
        <v>4014</v>
      </c>
    </row>
    <row r="1638">
      <c r="A1638" s="77" t="s">
        <v>4014</v>
      </c>
    </row>
    <row r="1639">
      <c r="A1639" s="77" t="s">
        <v>4014</v>
      </c>
    </row>
    <row r="1640">
      <c r="A1640" s="77" t="s">
        <v>4014</v>
      </c>
    </row>
    <row r="1641">
      <c r="A1641" s="77" t="s">
        <v>4014</v>
      </c>
    </row>
    <row r="1642">
      <c r="A1642" s="77" t="s">
        <v>4014</v>
      </c>
    </row>
    <row r="1643">
      <c r="A1643" s="77" t="s">
        <v>4014</v>
      </c>
    </row>
    <row r="1644">
      <c r="A1644" s="77" t="s">
        <v>4014</v>
      </c>
    </row>
    <row r="1645">
      <c r="A1645" s="77" t="s">
        <v>4014</v>
      </c>
    </row>
    <row r="1646">
      <c r="A1646" s="77" t="s">
        <v>4014</v>
      </c>
    </row>
    <row r="1647">
      <c r="A1647" s="77" t="s">
        <v>4014</v>
      </c>
    </row>
    <row r="1648">
      <c r="A1648" s="77" t="s">
        <v>4014</v>
      </c>
    </row>
    <row r="1649">
      <c r="A1649" s="77" t="s">
        <v>4014</v>
      </c>
    </row>
    <row r="1650">
      <c r="A1650" s="77" t="s">
        <v>4014</v>
      </c>
    </row>
    <row r="1651">
      <c r="A1651" s="77" t="s">
        <v>4014</v>
      </c>
    </row>
    <row r="1652">
      <c r="A1652" s="77" t="s">
        <v>4014</v>
      </c>
    </row>
    <row r="1653">
      <c r="A1653" s="77" t="s">
        <v>4014</v>
      </c>
    </row>
    <row r="1654">
      <c r="A1654" s="77" t="s">
        <v>4014</v>
      </c>
    </row>
    <row r="1655">
      <c r="A1655" s="77" t="s">
        <v>4014</v>
      </c>
    </row>
    <row r="1656">
      <c r="A1656" s="77" t="s">
        <v>4014</v>
      </c>
    </row>
    <row r="1657">
      <c r="A1657" s="77" t="s">
        <v>4014</v>
      </c>
    </row>
    <row r="1658">
      <c r="A1658" s="77" t="s">
        <v>4014</v>
      </c>
    </row>
    <row r="1659">
      <c r="A1659" s="77" t="s">
        <v>4014</v>
      </c>
    </row>
    <row r="1660">
      <c r="A1660" s="77" t="s">
        <v>4014</v>
      </c>
    </row>
    <row r="1661">
      <c r="A1661" s="77" t="s">
        <v>4014</v>
      </c>
    </row>
    <row r="1662">
      <c r="A1662" s="77" t="s">
        <v>4014</v>
      </c>
    </row>
    <row r="1663">
      <c r="A1663" s="77" t="s">
        <v>4014</v>
      </c>
    </row>
    <row r="1664">
      <c r="A1664" s="77" t="s">
        <v>4014</v>
      </c>
    </row>
    <row r="1665">
      <c r="A1665" s="77" t="s">
        <v>4014</v>
      </c>
    </row>
    <row r="1666">
      <c r="A1666" s="77" t="s">
        <v>4014</v>
      </c>
    </row>
    <row r="1667">
      <c r="A1667" s="77" t="s">
        <v>4014</v>
      </c>
    </row>
    <row r="1668">
      <c r="A1668" s="77" t="s">
        <v>4014</v>
      </c>
    </row>
    <row r="1669">
      <c r="A1669" s="77" t="s">
        <v>4014</v>
      </c>
    </row>
    <row r="1670">
      <c r="A1670" s="77" t="s">
        <v>4014</v>
      </c>
    </row>
    <row r="1671">
      <c r="A1671" s="77" t="s">
        <v>4014</v>
      </c>
    </row>
    <row r="1672">
      <c r="A1672" s="77" t="s">
        <v>4014</v>
      </c>
    </row>
    <row r="1673">
      <c r="A1673" s="77" t="s">
        <v>4014</v>
      </c>
    </row>
    <row r="1674">
      <c r="A1674" s="77" t="s">
        <v>4014</v>
      </c>
    </row>
    <row r="1675">
      <c r="A1675" s="77" t="s">
        <v>4014</v>
      </c>
    </row>
    <row r="1676">
      <c r="A1676" s="77" t="s">
        <v>4014</v>
      </c>
    </row>
    <row r="1677">
      <c r="A1677" s="77" t="s">
        <v>4014</v>
      </c>
    </row>
    <row r="1678">
      <c r="A1678" s="77" t="s">
        <v>4014</v>
      </c>
    </row>
    <row r="1679">
      <c r="A1679" s="77" t="s">
        <v>4014</v>
      </c>
    </row>
    <row r="1680">
      <c r="A1680" s="77" t="s">
        <v>4014</v>
      </c>
    </row>
    <row r="1681">
      <c r="A1681" s="77" t="s">
        <v>4014</v>
      </c>
    </row>
    <row r="1682">
      <c r="A1682" s="77" t="s">
        <v>4014</v>
      </c>
    </row>
    <row r="1683">
      <c r="A1683" s="77" t="s">
        <v>4014</v>
      </c>
    </row>
    <row r="1684">
      <c r="A1684" s="77" t="s">
        <v>4014</v>
      </c>
    </row>
    <row r="1685">
      <c r="A1685" s="77" t="s">
        <v>4014</v>
      </c>
    </row>
    <row r="1686">
      <c r="A1686" s="77" t="s">
        <v>4014</v>
      </c>
    </row>
    <row r="1687">
      <c r="A1687" s="77" t="s">
        <v>4014</v>
      </c>
    </row>
    <row r="1688">
      <c r="A1688" s="77" t="s">
        <v>4014</v>
      </c>
    </row>
    <row r="1689">
      <c r="A1689" s="77" t="s">
        <v>4014</v>
      </c>
    </row>
    <row r="1690">
      <c r="A1690" s="77" t="s">
        <v>4014</v>
      </c>
    </row>
    <row r="1691">
      <c r="A1691" s="77" t="s">
        <v>4014</v>
      </c>
    </row>
    <row r="1692">
      <c r="A1692" s="77" t="s">
        <v>4014</v>
      </c>
    </row>
    <row r="1693">
      <c r="A1693" s="77" t="s">
        <v>4014</v>
      </c>
    </row>
    <row r="1694">
      <c r="A1694" s="77" t="s">
        <v>4014</v>
      </c>
    </row>
    <row r="1695">
      <c r="A1695" s="77" t="s">
        <v>4014</v>
      </c>
    </row>
    <row r="1696">
      <c r="A1696" s="77" t="s">
        <v>4014</v>
      </c>
    </row>
    <row r="1697">
      <c r="A1697" s="77" t="s">
        <v>4014</v>
      </c>
    </row>
    <row r="1698">
      <c r="A1698" s="77" t="s">
        <v>4014</v>
      </c>
    </row>
    <row r="1699">
      <c r="A1699" s="77" t="s">
        <v>4014</v>
      </c>
    </row>
    <row r="1700">
      <c r="A1700" s="77" t="s">
        <v>4014</v>
      </c>
    </row>
    <row r="1701">
      <c r="A1701" s="77" t="s">
        <v>4014</v>
      </c>
    </row>
    <row r="1702">
      <c r="A1702" s="77" t="s">
        <v>4014</v>
      </c>
    </row>
    <row r="1703">
      <c r="A1703" s="77" t="s">
        <v>4014</v>
      </c>
    </row>
    <row r="1704">
      <c r="A1704" s="77" t="s">
        <v>4014</v>
      </c>
    </row>
    <row r="1705">
      <c r="A1705" s="77" t="s">
        <v>4014</v>
      </c>
    </row>
    <row r="1706">
      <c r="A1706" s="77" t="s">
        <v>4014</v>
      </c>
    </row>
    <row r="1707">
      <c r="A1707" s="77" t="s">
        <v>4014</v>
      </c>
    </row>
    <row r="1708">
      <c r="A1708" s="77" t="s">
        <v>4014</v>
      </c>
    </row>
    <row r="1709">
      <c r="A1709" s="77" t="s">
        <v>4014</v>
      </c>
    </row>
    <row r="1710">
      <c r="A1710" s="77" t="s">
        <v>4014</v>
      </c>
    </row>
    <row r="1711">
      <c r="A1711" s="77" t="s">
        <v>4014</v>
      </c>
    </row>
    <row r="1712">
      <c r="A1712" s="77" t="s">
        <v>4014</v>
      </c>
    </row>
    <row r="1713">
      <c r="A1713" s="77" t="s">
        <v>4014</v>
      </c>
    </row>
    <row r="1714">
      <c r="A1714" s="77" t="s">
        <v>4014</v>
      </c>
    </row>
    <row r="1715">
      <c r="A1715" s="77" t="s">
        <v>4014</v>
      </c>
    </row>
    <row r="1716">
      <c r="A1716" s="77" t="s">
        <v>4014</v>
      </c>
    </row>
    <row r="1717">
      <c r="A1717" s="77" t="s">
        <v>4014</v>
      </c>
    </row>
    <row r="1718">
      <c r="A1718" s="77" t="s">
        <v>4014</v>
      </c>
    </row>
    <row r="1719">
      <c r="A1719" s="77" t="s">
        <v>4014</v>
      </c>
    </row>
    <row r="1720">
      <c r="A1720" s="77" t="s">
        <v>4014</v>
      </c>
    </row>
    <row r="1721">
      <c r="A1721" s="77" t="s">
        <v>4014</v>
      </c>
    </row>
    <row r="1722">
      <c r="A1722" s="77" t="s">
        <v>4014</v>
      </c>
    </row>
    <row r="1723">
      <c r="A1723" s="77" t="s">
        <v>4014</v>
      </c>
    </row>
    <row r="1724">
      <c r="A1724" s="77" t="s">
        <v>4014</v>
      </c>
    </row>
    <row r="1725">
      <c r="A1725" s="77" t="s">
        <v>4014</v>
      </c>
    </row>
    <row r="1726">
      <c r="A1726" s="77" t="s">
        <v>4014</v>
      </c>
    </row>
    <row r="1727">
      <c r="A1727" s="77" t="s">
        <v>4014</v>
      </c>
    </row>
    <row r="1728">
      <c r="A1728" s="77" t="s">
        <v>4014</v>
      </c>
    </row>
    <row r="1729">
      <c r="A1729" s="77" t="s">
        <v>4014</v>
      </c>
    </row>
    <row r="1730">
      <c r="A1730" s="77" t="s">
        <v>4014</v>
      </c>
    </row>
    <row r="1731">
      <c r="A1731" s="77" t="s">
        <v>4014</v>
      </c>
    </row>
    <row r="1732">
      <c r="A1732" s="77" t="s">
        <v>4014</v>
      </c>
    </row>
    <row r="1733">
      <c r="A1733" s="77" t="s">
        <v>4014</v>
      </c>
    </row>
    <row r="1734">
      <c r="A1734" s="77" t="s">
        <v>4014</v>
      </c>
    </row>
    <row r="1735">
      <c r="A1735" s="77" t="s">
        <v>4014</v>
      </c>
    </row>
    <row r="1736">
      <c r="A1736" s="77" t="s">
        <v>4014</v>
      </c>
    </row>
    <row r="1737">
      <c r="A1737" s="77" t="s">
        <v>4014</v>
      </c>
    </row>
    <row r="1738">
      <c r="A1738" s="77" t="s">
        <v>4014</v>
      </c>
    </row>
    <row r="1739">
      <c r="A1739" s="77" t="s">
        <v>4014</v>
      </c>
    </row>
    <row r="1740">
      <c r="A1740" s="77" t="s">
        <v>4014</v>
      </c>
    </row>
    <row r="1741">
      <c r="A1741" s="77" t="s">
        <v>4014</v>
      </c>
    </row>
    <row r="1742">
      <c r="A1742" s="77" t="s">
        <v>4014</v>
      </c>
    </row>
    <row r="1743">
      <c r="A1743" s="77" t="s">
        <v>4014</v>
      </c>
    </row>
    <row r="1744">
      <c r="A1744" s="77" t="s">
        <v>4014</v>
      </c>
    </row>
    <row r="1745">
      <c r="A1745" s="77" t="s">
        <v>4014</v>
      </c>
    </row>
    <row r="1746">
      <c r="A1746" s="77" t="s">
        <v>4014</v>
      </c>
    </row>
    <row r="1747">
      <c r="A1747" s="77" t="s">
        <v>4014</v>
      </c>
    </row>
    <row r="1748">
      <c r="A1748" s="77" t="s">
        <v>4014</v>
      </c>
    </row>
    <row r="1749">
      <c r="A1749" s="77" t="s">
        <v>4014</v>
      </c>
    </row>
    <row r="1750">
      <c r="A1750" s="77" t="s">
        <v>4014</v>
      </c>
    </row>
    <row r="1751">
      <c r="A1751" s="77" t="s">
        <v>4014</v>
      </c>
    </row>
    <row r="1752">
      <c r="A1752" s="77" t="s">
        <v>4014</v>
      </c>
    </row>
    <row r="1753">
      <c r="A1753" s="77" t="s">
        <v>4014</v>
      </c>
    </row>
    <row r="1754">
      <c r="A1754" s="77" t="s">
        <v>4014</v>
      </c>
    </row>
    <row r="1755">
      <c r="A1755" s="77" t="s">
        <v>4014</v>
      </c>
    </row>
    <row r="1756">
      <c r="A1756" s="77" t="s">
        <v>4014</v>
      </c>
    </row>
    <row r="1757">
      <c r="A1757" s="77" t="s">
        <v>4014</v>
      </c>
    </row>
    <row r="1758">
      <c r="A1758" s="77" t="s">
        <v>4014</v>
      </c>
    </row>
    <row r="1759">
      <c r="A1759" s="77" t="s">
        <v>4014</v>
      </c>
    </row>
    <row r="1760">
      <c r="A1760" s="77" t="s">
        <v>4014</v>
      </c>
    </row>
    <row r="1761">
      <c r="A1761" s="77" t="s">
        <v>4014</v>
      </c>
    </row>
    <row r="1762">
      <c r="A1762" s="77" t="s">
        <v>4014</v>
      </c>
    </row>
    <row r="1763">
      <c r="A1763" s="77" t="s">
        <v>4014</v>
      </c>
    </row>
    <row r="1764">
      <c r="A1764" s="77" t="s">
        <v>4014</v>
      </c>
    </row>
    <row r="1765">
      <c r="A1765" s="77" t="s">
        <v>4014</v>
      </c>
    </row>
    <row r="1766">
      <c r="A1766" s="77" t="s">
        <v>4014</v>
      </c>
    </row>
    <row r="1767">
      <c r="A1767" s="77" t="s">
        <v>4014</v>
      </c>
    </row>
    <row r="1768">
      <c r="A1768" s="77" t="s">
        <v>4014</v>
      </c>
    </row>
    <row r="1769">
      <c r="A1769" s="77" t="s">
        <v>4014</v>
      </c>
    </row>
    <row r="1770">
      <c r="A1770" s="77" t="s">
        <v>4014</v>
      </c>
    </row>
    <row r="1771">
      <c r="A1771" s="77" t="s">
        <v>4014</v>
      </c>
    </row>
    <row r="1772">
      <c r="A1772" s="77" t="s">
        <v>4014</v>
      </c>
    </row>
    <row r="1773">
      <c r="A1773" s="77" t="s">
        <v>4014</v>
      </c>
    </row>
    <row r="1774">
      <c r="A1774" s="77" t="s">
        <v>4014</v>
      </c>
    </row>
    <row r="1775">
      <c r="A1775" s="77" t="s">
        <v>4014</v>
      </c>
    </row>
    <row r="1776">
      <c r="A1776" s="77" t="s">
        <v>4014</v>
      </c>
    </row>
    <row r="1777">
      <c r="A1777" s="77" t="s">
        <v>4014</v>
      </c>
    </row>
    <row r="1778">
      <c r="A1778" s="77" t="s">
        <v>4014</v>
      </c>
    </row>
    <row r="1779">
      <c r="A1779" s="77" t="s">
        <v>4014</v>
      </c>
    </row>
    <row r="1780">
      <c r="A1780" s="77" t="s">
        <v>4014</v>
      </c>
    </row>
    <row r="1781">
      <c r="A1781" s="77" t="s">
        <v>4014</v>
      </c>
    </row>
    <row r="1782">
      <c r="A1782" s="77" t="s">
        <v>4014</v>
      </c>
    </row>
    <row r="1783">
      <c r="A1783" s="77" t="s">
        <v>4014</v>
      </c>
    </row>
    <row r="1784">
      <c r="A1784" s="77" t="s">
        <v>4014</v>
      </c>
    </row>
    <row r="1785">
      <c r="A1785" s="77" t="s">
        <v>4014</v>
      </c>
    </row>
    <row r="1786">
      <c r="A1786" s="77" t="s">
        <v>4014</v>
      </c>
    </row>
    <row r="1787">
      <c r="A1787" s="77" t="s">
        <v>4014</v>
      </c>
    </row>
    <row r="1788">
      <c r="A1788" s="77" t="s">
        <v>4014</v>
      </c>
    </row>
    <row r="1789">
      <c r="A1789" s="77" t="s">
        <v>4014</v>
      </c>
    </row>
    <row r="1790">
      <c r="A1790" s="77" t="s">
        <v>4014</v>
      </c>
    </row>
    <row r="1791">
      <c r="A1791" s="77" t="s">
        <v>4014</v>
      </c>
    </row>
    <row r="1792">
      <c r="A1792" s="77" t="s">
        <v>4014</v>
      </c>
    </row>
    <row r="1793">
      <c r="A1793" s="77" t="s">
        <v>4014</v>
      </c>
    </row>
    <row r="1794">
      <c r="A1794" s="77" t="s">
        <v>4014</v>
      </c>
    </row>
    <row r="1795">
      <c r="A1795" s="77" t="s">
        <v>4014</v>
      </c>
    </row>
    <row r="1796">
      <c r="A1796" s="77" t="s">
        <v>4014</v>
      </c>
    </row>
    <row r="1797">
      <c r="A1797" s="77" t="s">
        <v>4014</v>
      </c>
    </row>
    <row r="1798">
      <c r="A1798" s="77" t="s">
        <v>4014</v>
      </c>
    </row>
    <row r="1799">
      <c r="A1799" s="77" t="s">
        <v>4014</v>
      </c>
    </row>
    <row r="1800">
      <c r="A1800" s="77" t="s">
        <v>4014</v>
      </c>
    </row>
    <row r="1801">
      <c r="A1801" s="77" t="s">
        <v>4014</v>
      </c>
    </row>
    <row r="1802">
      <c r="A1802" s="77" t="s">
        <v>4014</v>
      </c>
    </row>
    <row r="1803">
      <c r="A1803" s="77" t="s">
        <v>4014</v>
      </c>
    </row>
    <row r="1804">
      <c r="A1804" s="77" t="s">
        <v>4014</v>
      </c>
    </row>
    <row r="1805">
      <c r="A1805" s="77" t="s">
        <v>4014</v>
      </c>
    </row>
    <row r="1806">
      <c r="A1806" s="77" t="s">
        <v>4014</v>
      </c>
    </row>
    <row r="1807">
      <c r="A1807" s="77" t="s">
        <v>4014</v>
      </c>
    </row>
    <row r="1808">
      <c r="A1808" s="77" t="s">
        <v>4014</v>
      </c>
    </row>
    <row r="1809">
      <c r="A1809" s="77" t="s">
        <v>4014</v>
      </c>
    </row>
    <row r="1810">
      <c r="A1810" s="77" t="s">
        <v>4014</v>
      </c>
    </row>
    <row r="1811">
      <c r="A1811" s="77" t="s">
        <v>4014</v>
      </c>
    </row>
    <row r="1812">
      <c r="A1812" s="77" t="s">
        <v>4014</v>
      </c>
    </row>
    <row r="1813">
      <c r="A1813" s="77" t="s">
        <v>4014</v>
      </c>
    </row>
    <row r="1814">
      <c r="A1814" s="77" t="s">
        <v>4014</v>
      </c>
    </row>
    <row r="1815">
      <c r="A1815" s="77" t="s">
        <v>4014</v>
      </c>
    </row>
    <row r="1816">
      <c r="A1816" s="77" t="s">
        <v>4014</v>
      </c>
    </row>
    <row r="1817">
      <c r="A1817" s="77" t="s">
        <v>4014</v>
      </c>
    </row>
    <row r="1818">
      <c r="A1818" s="77" t="s">
        <v>4014</v>
      </c>
    </row>
    <row r="1819">
      <c r="A1819" s="77" t="s">
        <v>4014</v>
      </c>
    </row>
    <row r="1820">
      <c r="A1820" s="77" t="s">
        <v>4014</v>
      </c>
    </row>
    <row r="1821">
      <c r="A1821" s="77" t="s">
        <v>4014</v>
      </c>
    </row>
    <row r="1822">
      <c r="A1822" s="77" t="s">
        <v>4014</v>
      </c>
    </row>
    <row r="1823">
      <c r="A1823" s="77" t="s">
        <v>4014</v>
      </c>
    </row>
    <row r="1824">
      <c r="A1824" s="77" t="s">
        <v>4014</v>
      </c>
    </row>
    <row r="1825">
      <c r="A1825" s="77" t="s">
        <v>4014</v>
      </c>
    </row>
    <row r="1826">
      <c r="A1826" s="77" t="s">
        <v>4014</v>
      </c>
    </row>
    <row r="1827">
      <c r="A1827" s="77" t="s">
        <v>4014</v>
      </c>
    </row>
    <row r="1828">
      <c r="A1828" s="77" t="s">
        <v>4014</v>
      </c>
    </row>
    <row r="1829">
      <c r="A1829" s="77" t="s">
        <v>4014</v>
      </c>
    </row>
    <row r="1830">
      <c r="A1830" s="77" t="s">
        <v>4014</v>
      </c>
    </row>
    <row r="1831">
      <c r="A1831" s="77" t="s">
        <v>4014</v>
      </c>
    </row>
    <row r="1832">
      <c r="A1832" s="77" t="s">
        <v>4014</v>
      </c>
    </row>
    <row r="1833">
      <c r="A1833" s="77" t="s">
        <v>4014</v>
      </c>
    </row>
    <row r="1834">
      <c r="A1834" s="77" t="s">
        <v>4014</v>
      </c>
    </row>
    <row r="1835">
      <c r="A1835" s="77" t="s">
        <v>4014</v>
      </c>
    </row>
    <row r="1836">
      <c r="A1836" s="77" t="s">
        <v>4014</v>
      </c>
    </row>
    <row r="1837">
      <c r="A1837" s="77" t="s">
        <v>4014</v>
      </c>
    </row>
    <row r="1838">
      <c r="A1838" s="77" t="s">
        <v>4014</v>
      </c>
    </row>
    <row r="1839">
      <c r="A1839" s="77" t="s">
        <v>4014</v>
      </c>
    </row>
    <row r="1840">
      <c r="A1840" s="77" t="s">
        <v>4014</v>
      </c>
    </row>
    <row r="1841">
      <c r="A1841" s="77" t="s">
        <v>4014</v>
      </c>
    </row>
    <row r="1842">
      <c r="A1842" s="77" t="s">
        <v>4014</v>
      </c>
    </row>
    <row r="1843">
      <c r="A1843" s="77" t="s">
        <v>4014</v>
      </c>
    </row>
    <row r="1844">
      <c r="A1844" s="77" t="s">
        <v>4014</v>
      </c>
    </row>
    <row r="1845">
      <c r="A1845" s="77" t="s">
        <v>4014</v>
      </c>
    </row>
    <row r="1846">
      <c r="A1846" s="77" t="s">
        <v>4014</v>
      </c>
    </row>
    <row r="1847">
      <c r="A1847" s="77" t="s">
        <v>4014</v>
      </c>
    </row>
    <row r="1848">
      <c r="A1848" s="77" t="s">
        <v>4014</v>
      </c>
    </row>
    <row r="1849">
      <c r="A1849" s="77" t="s">
        <v>4014</v>
      </c>
    </row>
    <row r="1850">
      <c r="A1850" s="77" t="s">
        <v>4014</v>
      </c>
    </row>
    <row r="1851">
      <c r="A1851" s="77" t="s">
        <v>4014</v>
      </c>
    </row>
    <row r="1852">
      <c r="A1852" s="77" t="s">
        <v>4014</v>
      </c>
    </row>
    <row r="1853">
      <c r="A1853" s="77" t="s">
        <v>4014</v>
      </c>
    </row>
    <row r="1854">
      <c r="A1854" s="77" t="s">
        <v>4014</v>
      </c>
    </row>
    <row r="1855">
      <c r="A1855" s="77" t="s">
        <v>4014</v>
      </c>
    </row>
    <row r="1856">
      <c r="A1856" s="77" t="s">
        <v>4014</v>
      </c>
    </row>
    <row r="1857">
      <c r="A1857" s="77" t="s">
        <v>4014</v>
      </c>
    </row>
    <row r="1858">
      <c r="A1858" s="77" t="s">
        <v>4014</v>
      </c>
    </row>
    <row r="1859">
      <c r="A1859" s="77" t="s">
        <v>4014</v>
      </c>
    </row>
    <row r="1860">
      <c r="A1860" s="77" t="s">
        <v>4014</v>
      </c>
    </row>
    <row r="1861">
      <c r="A1861" s="77" t="s">
        <v>4014</v>
      </c>
    </row>
    <row r="1862">
      <c r="A1862" s="77" t="s">
        <v>4014</v>
      </c>
    </row>
    <row r="1863">
      <c r="A1863" s="77" t="s">
        <v>4014</v>
      </c>
    </row>
    <row r="1864">
      <c r="A1864" s="77" t="s">
        <v>4014</v>
      </c>
    </row>
    <row r="1865">
      <c r="A1865" s="77" t="s">
        <v>4014</v>
      </c>
    </row>
    <row r="1866">
      <c r="A1866" s="77" t="s">
        <v>4014</v>
      </c>
    </row>
    <row r="1867">
      <c r="A1867" s="77" t="s">
        <v>4014</v>
      </c>
    </row>
    <row r="1868">
      <c r="A1868" s="77" t="s">
        <v>4014</v>
      </c>
    </row>
    <row r="1869">
      <c r="A1869" s="77" t="s">
        <v>4014</v>
      </c>
    </row>
    <row r="1870">
      <c r="A1870" s="77" t="s">
        <v>4014</v>
      </c>
    </row>
    <row r="1871">
      <c r="A1871" s="77" t="s">
        <v>4014</v>
      </c>
    </row>
    <row r="1872">
      <c r="A1872" s="77" t="s">
        <v>4014</v>
      </c>
    </row>
    <row r="1873">
      <c r="A1873" s="77" t="s">
        <v>4014</v>
      </c>
    </row>
    <row r="1874">
      <c r="A1874" s="77" t="s">
        <v>4014</v>
      </c>
    </row>
    <row r="1875">
      <c r="A1875" s="77" t="s">
        <v>4014</v>
      </c>
    </row>
    <row r="1876">
      <c r="A1876" s="77" t="s">
        <v>4014</v>
      </c>
    </row>
    <row r="1877">
      <c r="A1877" s="77" t="s">
        <v>4014</v>
      </c>
    </row>
    <row r="1878">
      <c r="A1878" s="77" t="s">
        <v>4014</v>
      </c>
    </row>
    <row r="1879">
      <c r="A1879" s="77" t="s">
        <v>4014</v>
      </c>
    </row>
    <row r="1880">
      <c r="A1880" s="77" t="s">
        <v>4014</v>
      </c>
    </row>
    <row r="1881">
      <c r="A1881" s="77" t="s">
        <v>4014</v>
      </c>
    </row>
    <row r="1882">
      <c r="A1882" s="77" t="s">
        <v>4014</v>
      </c>
    </row>
    <row r="1883">
      <c r="A1883" s="77" t="s">
        <v>4014</v>
      </c>
    </row>
    <row r="1884">
      <c r="A1884" s="77" t="s">
        <v>4014</v>
      </c>
    </row>
    <row r="1885">
      <c r="A1885" s="77" t="s">
        <v>4014</v>
      </c>
    </row>
    <row r="1886">
      <c r="A1886" s="77" t="s">
        <v>4014</v>
      </c>
    </row>
    <row r="1887">
      <c r="A1887" s="77" t="s">
        <v>4014</v>
      </c>
    </row>
    <row r="1888">
      <c r="A1888" s="77" t="s">
        <v>4014</v>
      </c>
    </row>
    <row r="1889">
      <c r="A1889" s="77" t="s">
        <v>4014</v>
      </c>
    </row>
    <row r="1890">
      <c r="A1890" s="77" t="s">
        <v>4014</v>
      </c>
    </row>
    <row r="1891">
      <c r="A1891" s="77" t="s">
        <v>4014</v>
      </c>
    </row>
    <row r="1892">
      <c r="A1892" s="77" t="s">
        <v>4014</v>
      </c>
    </row>
    <row r="1893">
      <c r="A1893" s="77" t="s">
        <v>4014</v>
      </c>
    </row>
    <row r="1894">
      <c r="A1894" s="77" t="s">
        <v>4014</v>
      </c>
    </row>
    <row r="1895">
      <c r="A1895" s="77" t="s">
        <v>4014</v>
      </c>
    </row>
    <row r="1896">
      <c r="A1896" s="77" t="s">
        <v>4014</v>
      </c>
    </row>
    <row r="1897">
      <c r="A1897" s="77" t="s">
        <v>4014</v>
      </c>
    </row>
    <row r="1898">
      <c r="A1898" s="77" t="s">
        <v>4014</v>
      </c>
    </row>
    <row r="1899">
      <c r="A1899" s="77" t="s">
        <v>4014</v>
      </c>
    </row>
    <row r="1900">
      <c r="A1900" s="77" t="s">
        <v>4014</v>
      </c>
    </row>
    <row r="1901">
      <c r="A1901" s="77" t="s">
        <v>4014</v>
      </c>
    </row>
    <row r="1902">
      <c r="A1902" s="77" t="s">
        <v>4014</v>
      </c>
    </row>
    <row r="1903">
      <c r="A1903" s="77" t="s">
        <v>4014</v>
      </c>
    </row>
    <row r="1904">
      <c r="A1904" s="77" t="s">
        <v>4014</v>
      </c>
    </row>
    <row r="1905">
      <c r="A1905" s="77" t="s">
        <v>4014</v>
      </c>
    </row>
    <row r="1906">
      <c r="A1906" s="77" t="s">
        <v>4014</v>
      </c>
    </row>
    <row r="1907">
      <c r="A1907" s="77" t="s">
        <v>4014</v>
      </c>
    </row>
    <row r="1908">
      <c r="A1908" s="77" t="s">
        <v>4014</v>
      </c>
    </row>
    <row r="1909">
      <c r="A1909" s="77" t="s">
        <v>4014</v>
      </c>
    </row>
    <row r="1910">
      <c r="A1910" s="77" t="s">
        <v>4014</v>
      </c>
    </row>
    <row r="1911">
      <c r="A1911" s="77" t="s">
        <v>4014</v>
      </c>
    </row>
    <row r="1912">
      <c r="A1912" s="77" t="s">
        <v>4014</v>
      </c>
    </row>
    <row r="1913">
      <c r="A1913" s="77" t="s">
        <v>4014</v>
      </c>
    </row>
    <row r="1914">
      <c r="A1914" s="77" t="s">
        <v>4014</v>
      </c>
    </row>
    <row r="1915">
      <c r="A1915" s="77" t="s">
        <v>4014</v>
      </c>
    </row>
    <row r="1916">
      <c r="A1916" s="77" t="s">
        <v>4014</v>
      </c>
    </row>
    <row r="1917">
      <c r="A1917" s="77" t="s">
        <v>4014</v>
      </c>
    </row>
    <row r="1918">
      <c r="A1918" s="77" t="s">
        <v>4014</v>
      </c>
    </row>
    <row r="1919">
      <c r="A1919" s="77" t="s">
        <v>4014</v>
      </c>
    </row>
    <row r="1920">
      <c r="A1920" s="77" t="s">
        <v>4014</v>
      </c>
    </row>
    <row r="1921">
      <c r="A1921" s="77" t="s">
        <v>4014</v>
      </c>
    </row>
    <row r="1922">
      <c r="A1922" s="77" t="s">
        <v>4014</v>
      </c>
    </row>
    <row r="1923">
      <c r="A1923" s="77" t="s">
        <v>4014</v>
      </c>
    </row>
    <row r="1924">
      <c r="A1924" s="77" t="s">
        <v>4014</v>
      </c>
    </row>
    <row r="1925">
      <c r="A1925" s="77" t="s">
        <v>4014</v>
      </c>
    </row>
    <row r="1926">
      <c r="A1926" s="77" t="s">
        <v>4014</v>
      </c>
    </row>
    <row r="1927">
      <c r="A1927" s="77" t="s">
        <v>4014</v>
      </c>
    </row>
    <row r="1928">
      <c r="A1928" s="77" t="s">
        <v>4014</v>
      </c>
    </row>
    <row r="1929">
      <c r="A1929" s="77" t="s">
        <v>4014</v>
      </c>
    </row>
    <row r="1930">
      <c r="A1930" s="77" t="s">
        <v>4014</v>
      </c>
    </row>
    <row r="1931">
      <c r="A1931" s="77" t="s">
        <v>4014</v>
      </c>
    </row>
    <row r="1932">
      <c r="A1932" s="77" t="s">
        <v>4014</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6.0" topLeftCell="A7" activePane="bottomLeft" state="frozen"/>
      <selection activeCell="B8" sqref="B8" pane="bottomLeft"/>
    </sheetView>
  </sheetViews>
  <sheetFormatPr customHeight="1" defaultColWidth="14.43" defaultRowHeight="15.0"/>
  <cols>
    <col customWidth="1" min="1" max="1" width="10.71"/>
    <col customWidth="1" min="4" max="4" width="11.71"/>
    <col customWidth="1" min="5" max="5" width="87.43"/>
    <col customWidth="1" min="6" max="6" width="58.29"/>
    <col customWidth="1" min="8" max="8" width="9.71"/>
    <col customWidth="1" min="9" max="9" width="8.43"/>
    <col customWidth="1" min="11" max="11" width="29.57"/>
    <col customWidth="1" min="12" max="12" width="29.14"/>
  </cols>
  <sheetData>
    <row r="1">
      <c r="A1" s="77"/>
    </row>
    <row r="2">
      <c r="A2" s="78"/>
      <c r="B2" s="79"/>
      <c r="D2" s="80" t="s">
        <v>4012</v>
      </c>
      <c r="E2" s="81" t="s">
        <v>4015</v>
      </c>
      <c r="F2" s="79"/>
      <c r="G2" s="79"/>
      <c r="H2" s="79"/>
      <c r="I2" s="79"/>
      <c r="J2" s="79"/>
      <c r="K2" s="79"/>
      <c r="L2" s="79"/>
      <c r="M2" s="79"/>
      <c r="N2" s="79"/>
      <c r="O2" s="79"/>
      <c r="T2" s="79"/>
      <c r="U2" s="79"/>
      <c r="V2" s="79"/>
      <c r="W2" s="79"/>
      <c r="X2" s="79"/>
      <c r="Y2" s="79"/>
      <c r="Z2" s="79"/>
      <c r="AA2" s="79"/>
    </row>
    <row r="3">
      <c r="A3" s="77"/>
    </row>
    <row r="4">
      <c r="A4" s="77"/>
    </row>
    <row r="5">
      <c r="A5" s="82"/>
      <c r="B5" s="83"/>
      <c r="C5" s="83"/>
      <c r="D5" s="83"/>
      <c r="E5" s="83"/>
      <c r="F5" s="83"/>
      <c r="G5" s="83"/>
      <c r="H5" s="83"/>
      <c r="I5" s="83"/>
      <c r="J5" s="83"/>
      <c r="K5" s="83"/>
      <c r="L5" s="83"/>
      <c r="M5" s="83"/>
      <c r="N5" s="83"/>
      <c r="O5" s="83"/>
      <c r="P5" s="83"/>
      <c r="Q5" s="83"/>
      <c r="R5" s="83"/>
      <c r="S5" s="83"/>
      <c r="T5" s="83"/>
      <c r="U5" s="83"/>
      <c r="V5" s="83"/>
      <c r="W5" s="83"/>
      <c r="X5" s="83"/>
      <c r="Y5" s="83"/>
      <c r="Z5" s="83"/>
      <c r="AA5" s="83"/>
    </row>
    <row r="6">
      <c r="A6" s="84" t="s">
        <v>4013</v>
      </c>
      <c r="B6" s="48" t="s">
        <v>62</v>
      </c>
      <c r="C6" s="48" t="s">
        <v>63</v>
      </c>
      <c r="D6" s="48" t="s">
        <v>238</v>
      </c>
      <c r="E6" s="48" t="s">
        <v>239</v>
      </c>
      <c r="F6" s="48" t="s">
        <v>240</v>
      </c>
      <c r="G6" s="49" t="s">
        <v>241</v>
      </c>
      <c r="H6" s="48" t="s">
        <v>242</v>
      </c>
      <c r="I6" s="48" t="s">
        <v>243</v>
      </c>
      <c r="J6" s="48" t="s">
        <v>244</v>
      </c>
      <c r="K6" s="48" t="s">
        <v>245</v>
      </c>
      <c r="L6" s="48" t="s">
        <v>246</v>
      </c>
    </row>
    <row r="7">
      <c r="A7" s="77">
        <f t="array" ref="A7:A1932">IF(B7:B1932="", "", ROW(A1:A1932))</f>
        <v>1</v>
      </c>
      <c r="B7" s="3" t="str">
        <f>IFERROR(__xludf.DUMMYFUNCTION("if(E2="""","""", FILTER('บัญชีแจ้งหน่วยงาน'!A4:K1429, REGEXMATCH('บัญชีแจ้งหน่วยงาน'!D4:D1429, ""(?i)""&amp;E2), 'บัญชีแจ้งหน่วยงาน'!F4:F1429 &lt;&gt; """"))"),"ครุภัณฑ์การแพทย์")</f>
        <v>ครุภัณฑ์การแพทย์</v>
      </c>
      <c r="C7" s="3" t="str">
        <f>IFERROR(__xludf.DUMMYFUNCTION("""COMPUTED_VALUE"""),"กายภาพบำบัด")</f>
        <v>กายภาพบำบัด</v>
      </c>
      <c r="D7" s="3" t="str">
        <f>IFERROR(__xludf.DUMMYFUNCTION("""COMPUTED_VALUE"""),"PT-29")</f>
        <v>PT-29</v>
      </c>
      <c r="E7" s="3" t="str">
        <f>IFERROR(__xludf.DUMMYFUNCTION("""COMPUTED_VALUE"""),"เครื่องวิเคราะห์การใช้พลังงานขณะออกกำลังกาย")</f>
        <v>เครื่องวิเคราะห์การใช้พลังงานขณะออกกำลังกาย</v>
      </c>
      <c r="F7" s="3" t="str">
        <f>IFERROR(__xludf.DUMMYFUNCTION("""COMPUTED_VALUE"""),"Cardio Pulmonary Exercise Test")</f>
        <v>Cardio Pulmonary Exercise Test</v>
      </c>
      <c r="G7" s="85">
        <f>IFERROR(__xludf.DUMMYFUNCTION("""COMPUTED_VALUE"""),3500000.0)</f>
        <v>3500000</v>
      </c>
      <c r="H7" s="3" t="str">
        <f>IFERROR(__xludf.DUMMYFUNCTION("""COMPUTED_VALUE"""),"เครื่อง")</f>
        <v>เครื่อง</v>
      </c>
      <c r="I7" s="3" t="str">
        <f>IFERROR(__xludf.DUMMYFUNCTION("""COMPUTED_VALUE"""),"สป.สธ.")</f>
        <v>สป.สธ.</v>
      </c>
      <c r="J7" s="86" t="str">
        <f>IFERROR(__xludf.DUMMYFUNCTION("""COMPUTED_VALUE"""),"ฉบับ พ.ค. 65")</f>
        <v>ฉบับ พ.ค. 65</v>
      </c>
      <c r="K7" s="3"/>
      <c r="L7" s="3"/>
    </row>
    <row r="8">
      <c r="A8" s="77">
        <v>2.0</v>
      </c>
      <c r="B8" s="3" t="str">
        <f>IFERROR(__xludf.DUMMYFUNCTION("""COMPUTED_VALUE"""),"ครุภัณฑ์การแพทย์")</f>
        <v>ครุภัณฑ์การแพทย์</v>
      </c>
      <c r="C8" s="3" t="str">
        <f>IFERROR(__xludf.DUMMYFUNCTION("""COMPUTED_VALUE"""),"กายภาพบำบัด")</f>
        <v>กายภาพบำบัด</v>
      </c>
      <c r="D8" s="3" t="str">
        <f>IFERROR(__xludf.DUMMYFUNCTION("""COMPUTED_VALUE"""),"PT-39")</f>
        <v>PT-39</v>
      </c>
      <c r="E8" s="3" t="str">
        <f>IFERROR(__xludf.DUMMYFUNCTION("""COMPUTED_VALUE"""),"เครื่องวัดและฝึกกล้ามเนื้อที่ใช้ในการหายใจ")</f>
        <v>เครื่องวัดและฝึกกล้ามเนื้อที่ใช้ในการหายใจ</v>
      </c>
      <c r="F8" s="3" t="str">
        <f>IFERROR(__xludf.DUMMYFUNCTION("""COMPUTED_VALUE"""),"Silverfit flow")</f>
        <v>Silverfit flow</v>
      </c>
      <c r="G8" s="85">
        <f>IFERROR(__xludf.DUMMYFUNCTION("""COMPUTED_VALUE"""),1500000.0)</f>
        <v>1500000</v>
      </c>
      <c r="H8" s="3" t="str">
        <f>IFERROR(__xludf.DUMMYFUNCTION("""COMPUTED_VALUE"""),"ชุด")</f>
        <v>ชุด</v>
      </c>
      <c r="I8" s="3" t="str">
        <f>IFERROR(__xludf.DUMMYFUNCTION("""COMPUTED_VALUE"""),"สป.สธ.")</f>
        <v>สป.สธ.</v>
      </c>
      <c r="J8" s="3" t="str">
        <f>IFERROR(__xludf.DUMMYFUNCTION("""COMPUTED_VALUE"""),"ฉบับ พ.ย. 67")</f>
        <v>ฉบับ พ.ย. 67</v>
      </c>
      <c r="K8" s="3"/>
      <c r="L8" s="3"/>
    </row>
    <row r="9">
      <c r="A9" s="77">
        <v>3.0</v>
      </c>
      <c r="B9" s="3" t="str">
        <f>IFERROR(__xludf.DUMMYFUNCTION("""COMPUTED_VALUE"""),"ครุภัณฑ์การแพทย์")</f>
        <v>ครุภัณฑ์การแพทย์</v>
      </c>
      <c r="C9" s="3" t="str">
        <f>IFERROR(__xludf.DUMMYFUNCTION("""COMPUTED_VALUE"""),"กายภาพบำบัด")</f>
        <v>กายภาพบำบัด</v>
      </c>
      <c r="D9" s="3" t="str">
        <f>IFERROR(__xludf.DUMMYFUNCTION("""COMPUTED_VALUE"""),"PT-42")</f>
        <v>PT-42</v>
      </c>
      <c r="E9" s="3" t="str">
        <f>IFERROR(__xludf.DUMMYFUNCTION("""COMPUTED_VALUE"""),"ชุดอุปกรณ์ตรวจประเมินและฝึกการใช้มือทางกายภาพบำบัด")</f>
        <v>ชุดอุปกรณ์ตรวจประเมินและฝึกการใช้มือทางกายภาพบำบัด</v>
      </c>
      <c r="F9" s="3" t="str">
        <f>IFERROR(__xludf.DUMMYFUNCTION("""COMPUTED_VALUE"""),"Hand function testing and training")</f>
        <v>Hand function testing and training</v>
      </c>
      <c r="G9" s="85">
        <f>IFERROR(__xludf.DUMMYFUNCTION("""COMPUTED_VALUE"""),80000.0)</f>
        <v>80000</v>
      </c>
      <c r="H9" s="3" t="str">
        <f>IFERROR(__xludf.DUMMYFUNCTION("""COMPUTED_VALUE"""),"ชุด")</f>
        <v>ชุด</v>
      </c>
      <c r="I9" s="3" t="str">
        <f>IFERROR(__xludf.DUMMYFUNCTION("""COMPUTED_VALUE"""),"สป.สธ.")</f>
        <v>สป.สธ.</v>
      </c>
      <c r="J9" s="3" t="str">
        <f>IFERROR(__xludf.DUMMYFUNCTION("""COMPUTED_VALUE"""),"ฉบับ พ.ย. 67")</f>
        <v>ฉบับ พ.ย. 67</v>
      </c>
      <c r="K9" s="3"/>
      <c r="L9" s="3"/>
    </row>
    <row r="10">
      <c r="A10" s="77">
        <v>4.0</v>
      </c>
      <c r="B10" s="3" t="str">
        <f>IFERROR(__xludf.DUMMYFUNCTION("""COMPUTED_VALUE"""),"ครุภัณฑ์การแพทย์")</f>
        <v>ครุภัณฑ์การแพทย์</v>
      </c>
      <c r="C10" s="3" t="str">
        <f>IFERROR(__xludf.DUMMYFUNCTION("""COMPUTED_VALUE"""),"คลังเลือด")</f>
        <v>คลังเลือด</v>
      </c>
      <c r="D10" s="3" t="str">
        <f>IFERROR(__xludf.DUMMYFUNCTION("""COMPUTED_VALUE"""),"BB-23")</f>
        <v>BB-23</v>
      </c>
      <c r="E10" s="3" t="str">
        <f>IFERROR(__xludf.DUMMYFUNCTION("""COMPUTED_VALUE"""),"เครื่องเก็บล้างเม็ดเลือดแดงมาใช้ใหม่")</f>
        <v>เครื่องเก็บล้างเม็ดเลือดแดงมาใช้ใหม่</v>
      </c>
      <c r="F10" s="3" t="str">
        <f>IFERROR(__xludf.DUMMYFUNCTION("""COMPUTED_VALUE"""),"Autotransfusion")</f>
        <v>Autotransfusion</v>
      </c>
      <c r="G10" s="85">
        <f>IFERROR(__xludf.DUMMYFUNCTION("""COMPUTED_VALUE"""),1500000.0)</f>
        <v>1500000</v>
      </c>
      <c r="H10" s="3" t="str">
        <f>IFERROR(__xludf.DUMMYFUNCTION("""COMPUTED_VALUE"""),"เครื่อง")</f>
        <v>เครื่อง</v>
      </c>
      <c r="I10" s="3" t="str">
        <f>IFERROR(__xludf.DUMMYFUNCTION("""COMPUTED_VALUE"""),"สป.สธ.")</f>
        <v>สป.สธ.</v>
      </c>
      <c r="J10" s="86" t="str">
        <f>IFERROR(__xludf.DUMMYFUNCTION("""COMPUTED_VALUE"""),"ฉบับ ก.ย. 66")</f>
        <v>ฉบับ ก.ย. 66</v>
      </c>
      <c r="K10" s="3"/>
      <c r="L10" s="3"/>
    </row>
    <row r="11">
      <c r="A11" s="77">
        <v>5.0</v>
      </c>
      <c r="B11" s="3" t="str">
        <f>IFERROR(__xludf.DUMMYFUNCTION("""COMPUTED_VALUE"""),"ครุภัณฑ์การแพทย์")</f>
        <v>ครุภัณฑ์การแพทย์</v>
      </c>
      <c r="C11" s="3" t="str">
        <f>IFERROR(__xludf.DUMMYFUNCTION("""COMPUTED_VALUE"""),"ควบคุมการให้สารน้ำ")</f>
        <v>ควบคุมการให้สารน้ำ</v>
      </c>
      <c r="D11" s="3" t="str">
        <f>IFERROR(__xludf.DUMMYFUNCTION("""COMPUTED_VALUE"""),"IP-1")</f>
        <v>IP-1</v>
      </c>
      <c r="E11" s="3" t="str">
        <f>IFERROR(__xludf.DUMMYFUNCTION("""COMPUTED_VALUE"""),"เครื่องควบคุมการให้สารละลายโดยใช้กระบอกฉีด")</f>
        <v>เครื่องควบคุมการให้สารละลายโดยใช้กระบอกฉีด</v>
      </c>
      <c r="F11" s="3" t="str">
        <f>IFERROR(__xludf.DUMMYFUNCTION("""COMPUTED_VALUE"""),"Syringe Pump")</f>
        <v>Syringe Pump</v>
      </c>
      <c r="G11" s="85">
        <f>IFERROR(__xludf.DUMMYFUNCTION("""COMPUTED_VALUE"""),50000.0)</f>
        <v>50000</v>
      </c>
      <c r="H11" s="3" t="str">
        <f>IFERROR(__xludf.DUMMYFUNCTION("""COMPUTED_VALUE"""),"เครื่อง")</f>
        <v>เครื่อง</v>
      </c>
      <c r="I11" s="3" t="str">
        <f>IFERROR(__xludf.DUMMYFUNCTION("""COMPUTED_VALUE"""),"สป.สธ.")</f>
        <v>สป.สธ.</v>
      </c>
      <c r="J11" s="86" t="str">
        <f>IFERROR(__xludf.DUMMYFUNCTION("""COMPUTED_VALUE"""),"ฉบับ พ.ค. 65")</f>
        <v>ฉบับ พ.ค. 65</v>
      </c>
      <c r="K11" s="3"/>
      <c r="L11" s="3"/>
    </row>
    <row r="12">
      <c r="A12" s="77">
        <v>6.0</v>
      </c>
      <c r="B12" s="3" t="str">
        <f>IFERROR(__xludf.DUMMYFUNCTION("""COMPUTED_VALUE"""),"ครุภัณฑ์การแพทย์")</f>
        <v>ครุภัณฑ์การแพทย์</v>
      </c>
      <c r="C12" s="3" t="str">
        <f>IFERROR(__xludf.DUMMYFUNCTION("""COMPUTED_VALUE"""),"จี้ห้ามเลือดและตัดเนื้อเยื่อ")</f>
        <v>จี้ห้ามเลือดและตัดเนื้อเยื่อ</v>
      </c>
      <c r="D12" s="3" t="str">
        <f>IFERROR(__xludf.DUMMYFUNCTION("""COMPUTED_VALUE"""),"CE-5")</f>
        <v>CE-5</v>
      </c>
      <c r="E12" s="3" t="str">
        <f>IFERROR(__xludf.DUMMYFUNCTION("""COMPUTED_VALUE"""),"เครื่องมือตัดเนื้อตายโดยใช้แรงขับเคลื่อนของน้ำ")</f>
        <v>เครื่องมือตัดเนื้อตายโดยใช้แรงขับเคลื่อนของน้ำ</v>
      </c>
      <c r="F12" s="3" t="str">
        <f>IFERROR(__xludf.DUMMYFUNCTION("""COMPUTED_VALUE"""),"Hydrosurgery System")</f>
        <v>Hydrosurgery System</v>
      </c>
      <c r="G12" s="85">
        <f>IFERROR(__xludf.DUMMYFUNCTION("""COMPUTED_VALUE"""),550000.0)</f>
        <v>550000</v>
      </c>
      <c r="H12" s="3" t="str">
        <f>IFERROR(__xludf.DUMMYFUNCTION("""COMPUTED_VALUE"""),"เครื่อง")</f>
        <v>เครื่อง</v>
      </c>
      <c r="I12" s="3" t="str">
        <f>IFERROR(__xludf.DUMMYFUNCTION("""COMPUTED_VALUE"""),"สป.สธ.")</f>
        <v>สป.สธ.</v>
      </c>
      <c r="J12" s="86" t="str">
        <f>IFERROR(__xludf.DUMMYFUNCTION("""COMPUTED_VALUE"""),"ฉบับ พ.ค. 65")</f>
        <v>ฉบับ พ.ค. 65</v>
      </c>
      <c r="K12" s="3"/>
      <c r="L12" s="3"/>
    </row>
    <row r="13">
      <c r="A13" s="77">
        <v>7.0</v>
      </c>
      <c r="B13" s="3" t="str">
        <f>IFERROR(__xludf.DUMMYFUNCTION("""COMPUTED_VALUE"""),"ครุภัณฑ์การแพทย์")</f>
        <v>ครุภัณฑ์การแพทย์</v>
      </c>
      <c r="C13" s="3" t="str">
        <f>IFERROR(__xludf.DUMMYFUNCTION("""COMPUTED_VALUE"""),"ช่วยหายใจ")</f>
        <v>ช่วยหายใจ</v>
      </c>
      <c r="D13" s="3" t="str">
        <f>IFERROR(__xludf.DUMMYFUNCTION("""COMPUTED_VALUE"""),"RS-8")</f>
        <v>RS-8</v>
      </c>
      <c r="E13" s="3" t="str">
        <f>IFERROR(__xludf.DUMMYFUNCTION("""COMPUTED_VALUE"""),"เครื่องช่วยหายใจสำหรับใช้ในรถพยาบาล")</f>
        <v>เครื่องช่วยหายใจสำหรับใช้ในรถพยาบาล</v>
      </c>
      <c r="F13" s="3" t="str">
        <f>IFERROR(__xludf.DUMMYFUNCTION("""COMPUTED_VALUE"""),"Mobile Ventilator for Ambulance")</f>
        <v>Mobile Ventilator for Ambulance</v>
      </c>
      <c r="G13" s="85">
        <f>IFERROR(__xludf.DUMMYFUNCTION("""COMPUTED_VALUE"""),160000.0)</f>
        <v>160000</v>
      </c>
      <c r="H13" s="3" t="str">
        <f>IFERROR(__xludf.DUMMYFUNCTION("""COMPUTED_VALUE"""),"เครื่อง")</f>
        <v>เครื่อง</v>
      </c>
      <c r="I13" s="3" t="str">
        <f>IFERROR(__xludf.DUMMYFUNCTION("""COMPUTED_VALUE"""),"สป.สธ.")</f>
        <v>สป.สธ.</v>
      </c>
      <c r="J13" s="86" t="str">
        <f>IFERROR(__xludf.DUMMYFUNCTION("""COMPUTED_VALUE"""),"ฉบับ พ.ค. 65")</f>
        <v>ฉบับ พ.ค. 65</v>
      </c>
      <c r="K13" s="3"/>
      <c r="L13" s="3"/>
    </row>
    <row r="14">
      <c r="A14" s="77">
        <v>8.0</v>
      </c>
      <c r="B14" s="3" t="str">
        <f>IFERROR(__xludf.DUMMYFUNCTION("""COMPUTED_VALUE"""),"ครุภัณฑ์การแพทย์")</f>
        <v>ครุภัณฑ์การแพทย์</v>
      </c>
      <c r="C14" s="3" t="str">
        <f>IFERROR(__xludf.DUMMYFUNCTION("""COMPUTED_VALUE"""),"ตรวจรักษาหัวใจและปอด")</f>
        <v>ตรวจรักษาหัวใจและปอด</v>
      </c>
      <c r="D14" s="3" t="str">
        <f>IFERROR(__xludf.DUMMYFUNCTION("""COMPUTED_VALUE"""),"HL-3")</f>
        <v>HL-3</v>
      </c>
      <c r="E14" s="3" t="str">
        <f>IFERROR(__xludf.DUMMYFUNCTION("""COMPUTED_VALUE"""),"เครื่องกำจัดลิ่มเลือดภายในหลอดเลือดแดงชนิดใช้แรงดันสูง")</f>
        <v>เครื่องกำจัดลิ่มเลือดภายในหลอดเลือดแดงชนิดใช้แรงดันสูง</v>
      </c>
      <c r="F14" s="3" t="str">
        <f>IFERROR(__xludf.DUMMYFUNCTION("""COMPUTED_VALUE"""),"Blood clot removal machine high pressure type")</f>
        <v>Blood clot removal machine high pressure type</v>
      </c>
      <c r="G14" s="85">
        <f>IFERROR(__xludf.DUMMYFUNCTION("""COMPUTED_VALUE"""),1300000.0)</f>
        <v>1300000</v>
      </c>
      <c r="H14" s="3" t="str">
        <f>IFERROR(__xludf.DUMMYFUNCTION("""COMPUTED_VALUE"""),"เครื่อง")</f>
        <v>เครื่อง</v>
      </c>
      <c r="I14" s="3" t="str">
        <f>IFERROR(__xludf.DUMMYFUNCTION("""COMPUTED_VALUE"""),"สป.สธ.")</f>
        <v>สป.สธ.</v>
      </c>
      <c r="J14" s="86" t="str">
        <f>IFERROR(__xludf.DUMMYFUNCTION("""COMPUTED_VALUE"""),"ฉบับ พ.ค. 65")</f>
        <v>ฉบับ พ.ค. 65</v>
      </c>
      <c r="K14" s="3"/>
      <c r="L14" s="3"/>
    </row>
    <row r="15">
      <c r="A15" s="77">
        <v>9.0</v>
      </c>
      <c r="B15" s="3" t="str">
        <f>IFERROR(__xludf.DUMMYFUNCTION("""COMPUTED_VALUE"""),"ครุภัณฑ์การแพทย์")</f>
        <v>ครุภัณฑ์การแพทย์</v>
      </c>
      <c r="C15" s="3" t="str">
        <f>IFERROR(__xludf.DUMMYFUNCTION("""COMPUTED_VALUE"""),"ตรวจรักษาหัวใจและปอด")</f>
        <v>ตรวจรักษาหัวใจและปอด</v>
      </c>
      <c r="D15" s="3" t="str">
        <f>IFERROR(__xludf.DUMMYFUNCTION("""COMPUTED_VALUE"""),"HL-4")</f>
        <v>HL-4</v>
      </c>
      <c r="E15" s="3" t="str">
        <f>IFERROR(__xludf.DUMMYFUNCTION("""COMPUTED_VALUE"""),"เครื่องควบคุมความร้อนเย็นของเลือดใช้กับเครื่องหัวใจและปอดเทียมระบบอัตโนมัติ")</f>
        <v>เครื่องควบคุมความร้อนเย็นของเลือดใช้กับเครื่องหัวใจและปอดเทียมระบบอัตโนมัติ</v>
      </c>
      <c r="F15" s="3" t="str">
        <f>IFERROR(__xludf.DUMMYFUNCTION("""COMPUTED_VALUE"""),"The cold-blood heating regulator is used with an automated artificial heart and lung machine")</f>
        <v>The cold-blood heating regulator is used with an automated artificial heart and lung machine</v>
      </c>
      <c r="G15" s="85">
        <f>IFERROR(__xludf.DUMMYFUNCTION("""COMPUTED_VALUE"""),1100000.0)</f>
        <v>1100000</v>
      </c>
      <c r="H15" s="3" t="str">
        <f>IFERROR(__xludf.DUMMYFUNCTION("""COMPUTED_VALUE"""),"เครื่อง")</f>
        <v>เครื่อง</v>
      </c>
      <c r="I15" s="3" t="str">
        <f>IFERROR(__xludf.DUMMYFUNCTION("""COMPUTED_VALUE"""),"สป.สธ.")</f>
        <v>สป.สธ.</v>
      </c>
      <c r="J15" s="86" t="str">
        <f>IFERROR(__xludf.DUMMYFUNCTION("""COMPUTED_VALUE"""),"ฉบับ พ.ค. 65")</f>
        <v>ฉบับ พ.ค. 65</v>
      </c>
      <c r="K15" s="3"/>
      <c r="L15" s="3"/>
    </row>
    <row r="16">
      <c r="A16" s="77">
        <v>10.0</v>
      </c>
      <c r="B16" s="3" t="str">
        <f>IFERROR(__xludf.DUMMYFUNCTION("""COMPUTED_VALUE"""),"ครุภัณฑ์การแพทย์")</f>
        <v>ครุภัณฑ์การแพทย์</v>
      </c>
      <c r="C16" s="3" t="str">
        <f>IFERROR(__xludf.DUMMYFUNCTION("""COMPUTED_VALUE"""),"ตรวจวินิจฉัยและรักษาสมอง")</f>
        <v>ตรวจวินิจฉัยและรักษาสมอง</v>
      </c>
      <c r="D16" s="3" t="str">
        <f>IFERROR(__xludf.DUMMYFUNCTION("""COMPUTED_VALUE"""),"NE-7")</f>
        <v>NE-7</v>
      </c>
      <c r="E16" s="3" t="str">
        <f>IFERROR(__xludf.DUMMYFUNCTION("""COMPUTED_VALUE"""),"เครื่องประเมินและฟื้นฟูความสามารถทางสมอง ความคิดและการเรียนรู้ด้วยการใช้เทคโนโลยีภาพเสมือนจริง")</f>
        <v>เครื่องประเมินและฟื้นฟูความสามารถทางสมอง ความคิดและการเรียนรู้ด้วยการใช้เทคโนโลยีภาพเสมือนจริง</v>
      </c>
      <c r="F16" s="3" t="str">
        <f>IFERROR(__xludf.DUMMYFUNCTION("""COMPUTED_VALUE"""),"Virtual reality cognitive assessment and rehabilitation")</f>
        <v>Virtual reality cognitive assessment and rehabilitation</v>
      </c>
      <c r="G16" s="85">
        <f>IFERROR(__xludf.DUMMYFUNCTION("""COMPUTED_VALUE"""),2500000.0)</f>
        <v>2500000</v>
      </c>
      <c r="H16" s="3" t="str">
        <f>IFERROR(__xludf.DUMMYFUNCTION("""COMPUTED_VALUE"""),"เครื่อง")</f>
        <v>เครื่อง</v>
      </c>
      <c r="I16" s="3" t="str">
        <f>IFERROR(__xludf.DUMMYFUNCTION("""COMPUTED_VALUE"""),"สป.สธ.")</f>
        <v>สป.สธ.</v>
      </c>
      <c r="J16" s="3" t="str">
        <f>IFERROR(__xludf.DUMMYFUNCTION("""COMPUTED_VALUE"""),"ฉบับ พ.ย. 67")</f>
        <v>ฉบับ พ.ย. 67</v>
      </c>
      <c r="K16" s="3"/>
      <c r="L16" s="3"/>
    </row>
    <row r="17">
      <c r="A17" s="77">
        <v>11.0</v>
      </c>
      <c r="B17" s="3" t="str">
        <f>IFERROR(__xludf.DUMMYFUNCTION("""COMPUTED_VALUE"""),"ครุภัณฑ์การแพทย์")</f>
        <v>ครุภัณฑ์การแพทย์</v>
      </c>
      <c r="C17" s="3" t="str">
        <f>IFERROR(__xludf.DUMMYFUNCTION("""COMPUTED_VALUE"""),"ทันตกรรม")</f>
        <v>ทันตกรรม</v>
      </c>
      <c r="D17" s="3" t="str">
        <f>IFERROR(__xludf.DUMMYFUNCTION("""COMPUTED_VALUE"""),"DE-39")</f>
        <v>DE-39</v>
      </c>
      <c r="E17" s="3" t="str">
        <f>IFERROR(__xludf.DUMMYFUNCTION("""COMPUTED_VALUE"""),"เครื่องเลเซอร์งานทันตกรรม สำหรับการใช้งานกับเนื้อเยื่อ กระดูก และฟัน")</f>
        <v>เครื่องเลเซอร์งานทันตกรรม สำหรับการใช้งานกับเนื้อเยื่อ กระดูก และฟัน</v>
      </c>
      <c r="F17" s="3" t="str">
        <f>IFERROR(__xludf.DUMMYFUNCTION("""COMPUTED_VALUE"""),"All tissues Er. Cr. YSGG Laser")</f>
        <v>All tissues Er. Cr. YSGG Laser</v>
      </c>
      <c r="G17" s="85">
        <f>IFERROR(__xludf.DUMMYFUNCTION("""COMPUTED_VALUE"""),4815000.0)</f>
        <v>4815000</v>
      </c>
      <c r="H17" s="3" t="str">
        <f>IFERROR(__xludf.DUMMYFUNCTION("""COMPUTED_VALUE"""),"เครื่อง")</f>
        <v>เครื่อง</v>
      </c>
      <c r="I17" s="3" t="str">
        <f>IFERROR(__xludf.DUMMYFUNCTION("""COMPUTED_VALUE"""),"สป.สธ.")</f>
        <v>สป.สธ.</v>
      </c>
      <c r="J17" s="3" t="str">
        <f>IFERROR(__xludf.DUMMYFUNCTION("""COMPUTED_VALUE"""),"ฉบับ พ.ย. 67")</f>
        <v>ฉบับ พ.ย. 67</v>
      </c>
      <c r="K17" s="3"/>
      <c r="L17" s="3"/>
    </row>
    <row r="18">
      <c r="A18" s="77">
        <v>12.0</v>
      </c>
      <c r="B18" s="3" t="str">
        <f>IFERROR(__xludf.DUMMYFUNCTION("""COMPUTED_VALUE"""),"ครุภัณฑ์การแพทย์")</f>
        <v>ครุภัณฑ์การแพทย์</v>
      </c>
      <c r="C18" s="3" t="str">
        <f>IFERROR(__xludf.DUMMYFUNCTION("""COMPUTED_VALUE"""),"ผ่าตัด")</f>
        <v>ผ่าตัด</v>
      </c>
      <c r="D18" s="3" t="str">
        <f>IFERROR(__xludf.DUMMYFUNCTION("""COMPUTED_VALUE"""),"OE-27")</f>
        <v>OE-27</v>
      </c>
      <c r="E18" s="3" t="str">
        <f>IFERROR(__xludf.DUMMYFUNCTION("""COMPUTED_VALUE"""),"ชุดเครื่องมือสว่านไฟฟ้าแบบใช้แบตเตอรี่สำหรับงานศัลยกรรมออร์โธปิดิกส์")</f>
        <v>ชุดเครื่องมือสว่านไฟฟ้าแบบใช้แบตเตอรี่สำหรับงานศัลยกรรมออร์โธปิดิกส์</v>
      </c>
      <c r="F18" s="3" t="str">
        <f>IFERROR(__xludf.DUMMYFUNCTION("""COMPUTED_VALUE"""),"(Powertools dynamic drill and ream")</f>
        <v>(Powertools dynamic drill and ream</v>
      </c>
      <c r="G18" s="85">
        <f>IFERROR(__xludf.DUMMYFUNCTION("""COMPUTED_VALUE"""),1000000.0)</f>
        <v>1000000</v>
      </c>
      <c r="H18" s="3" t="str">
        <f>IFERROR(__xludf.DUMMYFUNCTION("""COMPUTED_VALUE"""),"ชุด")</f>
        <v>ชุด</v>
      </c>
      <c r="I18" s="3" t="str">
        <f>IFERROR(__xludf.DUMMYFUNCTION("""COMPUTED_VALUE"""),"สป.สธ.")</f>
        <v>สป.สธ.</v>
      </c>
      <c r="J18" s="3" t="str">
        <f>IFERROR(__xludf.DUMMYFUNCTION("""COMPUTED_VALUE"""),"ฉบับ พ.ย. 67")</f>
        <v>ฉบับ พ.ย. 67</v>
      </c>
      <c r="K18" s="3"/>
      <c r="L18" s="3"/>
    </row>
    <row r="19">
      <c r="A19" s="77">
        <v>13.0</v>
      </c>
      <c r="B19" s="3" t="str">
        <f>IFERROR(__xludf.DUMMYFUNCTION("""COMPUTED_VALUE"""),"ครุภัณฑ์การแพทย์")</f>
        <v>ครุภัณฑ์การแพทย์</v>
      </c>
      <c r="C19" s="3" t="str">
        <f>IFERROR(__xludf.DUMMYFUNCTION("""COMPUTED_VALUE"""),"รังสีรักษา")</f>
        <v>รังสีรักษา</v>
      </c>
      <c r="D19" s="3" t="str">
        <f>IFERROR(__xludf.DUMMYFUNCTION("""COMPUTED_VALUE"""),"RT-25")</f>
        <v>RT-25</v>
      </c>
      <c r="E19" s="3" t="str">
        <f>IFERROR(__xludf.DUMMYFUNCTION("""COMPUTED_VALUE"""),"เครื่องฉายรังสีพลังงานสูง (LINAC) สามารถใช้โปรแกรมการทำงานแบบปรับความเข้ม (IMRT &amp; VMAT)")</f>
        <v>เครื่องฉายรังสีพลังงานสูง (LINAC) สามารถใช้โปรแกรมการทำงานแบบปรับความเข้ม (IMRT &amp; VMAT)</v>
      </c>
      <c r="F19" s="3" t="str">
        <f>IFERROR(__xludf.DUMMYFUNCTION("""COMPUTED_VALUE"""),"High-Energy Linear Accelerator (LINAC) with IMRT &amp; VMAT")</f>
        <v>High-Energy Linear Accelerator (LINAC) with IMRT &amp; VMAT</v>
      </c>
      <c r="G19" s="85">
        <f>IFERROR(__xludf.DUMMYFUNCTION("""COMPUTED_VALUE"""),1.5E8)</f>
        <v>150000000</v>
      </c>
      <c r="H19" s="3" t="str">
        <f>IFERROR(__xludf.DUMMYFUNCTION("""COMPUTED_VALUE"""),"เครื่อง")</f>
        <v>เครื่อง</v>
      </c>
      <c r="I19" s="3" t="str">
        <f>IFERROR(__xludf.DUMMYFUNCTION("""COMPUTED_VALUE"""),"สป.สธ.")</f>
        <v>สป.สธ.</v>
      </c>
      <c r="J19" s="3" t="str">
        <f>IFERROR(__xludf.DUMMYFUNCTION("""COMPUTED_VALUE"""),"ฉบับ พ.ย. 67")</f>
        <v>ฉบับ พ.ย. 67</v>
      </c>
      <c r="K19" s="3"/>
      <c r="L19" s="3"/>
    </row>
    <row r="20">
      <c r="A20" s="77">
        <v>14.0</v>
      </c>
      <c r="B20" s="3" t="str">
        <f>IFERROR(__xludf.DUMMYFUNCTION("""COMPUTED_VALUE"""),"ครุภัณฑ์การแพทย์")</f>
        <v>ครุภัณฑ์การแพทย์</v>
      </c>
      <c r="C20" s="3" t="str">
        <f>IFERROR(__xludf.DUMMYFUNCTION("""COMPUTED_VALUE"""),"ศัลยกรรมออร์โธปิดิกส์")</f>
        <v>ศัลยกรรมออร์โธปิดิกส์</v>
      </c>
      <c r="D20" s="3" t="str">
        <f>IFERROR(__xludf.DUMMYFUNCTION("""COMPUTED_VALUE"""),"ORT-4")</f>
        <v>ORT-4</v>
      </c>
      <c r="E20" s="3" t="str">
        <f>IFERROR(__xludf.DUMMYFUNCTION("""COMPUTED_VALUE"""),"ชุดเครื่องมือผ่าตัดกระดูกใช้แบตเตอรี่")</f>
        <v>ชุดเครื่องมือผ่าตัดกระดูกใช้แบตเตอรี่</v>
      </c>
      <c r="F20" s="3" t="str">
        <f>IFERROR(__xludf.DUMMYFUNCTION("""COMPUTED_VALUE"""),"Battery Operated Orthopedic Instrument Kit")</f>
        <v>Battery Operated Orthopedic Instrument Kit</v>
      </c>
      <c r="G20" s="85">
        <f>IFERROR(__xludf.DUMMYFUNCTION("""COMPUTED_VALUE"""),1500000.0)</f>
        <v>1500000</v>
      </c>
      <c r="H20" s="3" t="str">
        <f>IFERROR(__xludf.DUMMYFUNCTION("""COMPUTED_VALUE"""),"ชุด")</f>
        <v>ชุด</v>
      </c>
      <c r="I20" s="3" t="str">
        <f>IFERROR(__xludf.DUMMYFUNCTION("""COMPUTED_VALUE"""),"สป.สธ.")</f>
        <v>สป.สธ.</v>
      </c>
      <c r="J20" s="86" t="str">
        <f>IFERROR(__xludf.DUMMYFUNCTION("""COMPUTED_VALUE"""),"ฉบับ พ.ย. 67")</f>
        <v>ฉบับ พ.ย. 67</v>
      </c>
      <c r="K20" s="3"/>
      <c r="L20" s="3"/>
    </row>
    <row r="21">
      <c r="A21" s="77">
        <v>15.0</v>
      </c>
      <c r="B21" s="3" t="str">
        <f>IFERROR(__xludf.DUMMYFUNCTION("""COMPUTED_VALUE"""),"ครุภัณฑ์การแพทย์")</f>
        <v>ครุภัณฑ์การแพทย์</v>
      </c>
      <c r="C21" s="3" t="str">
        <f>IFERROR(__xludf.DUMMYFUNCTION("""COMPUTED_VALUE"""),"ศัลยกรรมออร์โธปิดิกส์")</f>
        <v>ศัลยกรรมออร์โธปิดิกส์</v>
      </c>
      <c r="D21" s="3" t="str">
        <f>IFERROR(__xludf.DUMMYFUNCTION("""COMPUTED_VALUE"""),"ORT-5")</f>
        <v>ORT-5</v>
      </c>
      <c r="E21" s="3" t="str">
        <f>IFERROR(__xludf.DUMMYFUNCTION("""COMPUTED_VALUE"""),"ชุดเครื่องมือผ่าตัดกระดูกพื้นฐาน โดยใช้ระบบลม")</f>
        <v>ชุดเครื่องมือผ่าตัดกระดูกพื้นฐาน โดยใช้ระบบลม</v>
      </c>
      <c r="F21" s="3" t="str">
        <f>IFERROR(__xludf.DUMMYFUNCTION("""COMPUTED_VALUE"""),"Basic Orthopedic Surgical Instruments Set")</f>
        <v>Basic Orthopedic Surgical Instruments Set</v>
      </c>
      <c r="G21" s="85">
        <f>IFERROR(__xludf.DUMMYFUNCTION("""COMPUTED_VALUE"""),800000.0)</f>
        <v>800000</v>
      </c>
      <c r="H21" s="3" t="str">
        <f>IFERROR(__xludf.DUMMYFUNCTION("""COMPUTED_VALUE"""),"ชุด")</f>
        <v>ชุด</v>
      </c>
      <c r="I21" s="3" t="str">
        <f>IFERROR(__xludf.DUMMYFUNCTION("""COMPUTED_VALUE"""),"สป.สธ.")</f>
        <v>สป.สธ.</v>
      </c>
      <c r="J21" s="86" t="str">
        <f>IFERROR(__xludf.DUMMYFUNCTION("""COMPUTED_VALUE"""),"ฉบับ พ.ย. 67")</f>
        <v>ฉบับ พ.ย. 67</v>
      </c>
      <c r="K21" s="3"/>
      <c r="L21" s="3"/>
    </row>
    <row r="22">
      <c r="A22" s="77">
        <v>16.0</v>
      </c>
      <c r="B22" s="3" t="str">
        <f>IFERROR(__xludf.DUMMYFUNCTION("""COMPUTED_VALUE"""),"ครุภัณฑ์การแพทย์")</f>
        <v>ครุภัณฑ์การแพทย์</v>
      </c>
      <c r="C22" s="3" t="str">
        <f>IFERROR(__xludf.DUMMYFUNCTION("""COMPUTED_VALUE"""),"ศัลยกรรมออร์โธปิดิกส์")</f>
        <v>ศัลยกรรมออร์โธปิดิกส์</v>
      </c>
      <c r="D22" s="3" t="str">
        <f>IFERROR(__xludf.DUMMYFUNCTION("""COMPUTED_VALUE"""),"ORT-8")</f>
        <v>ORT-8</v>
      </c>
      <c r="E22" s="3" t="str">
        <f>IFERROR(__xludf.DUMMYFUNCTION("""COMPUTED_VALUE"""),"สว่านใช้แรงดันลมขนาดมาตรฐาน")</f>
        <v>สว่านใช้แรงดันลมขนาดมาตรฐาน</v>
      </c>
      <c r="F22" s="3" t="str">
        <f>IFERROR(__xludf.DUMMYFUNCTION("""COMPUTED_VALUE"""),"The drill uses standard size air pressure")</f>
        <v>The drill uses standard size air pressure</v>
      </c>
      <c r="G22" s="85">
        <f>IFERROR(__xludf.DUMMYFUNCTION("""COMPUTED_VALUE"""),500000.0)</f>
        <v>500000</v>
      </c>
      <c r="H22" s="3" t="str">
        <f>IFERROR(__xludf.DUMMYFUNCTION("""COMPUTED_VALUE"""),"เครื่อง")</f>
        <v>เครื่อง</v>
      </c>
      <c r="I22" s="3" t="str">
        <f>IFERROR(__xludf.DUMMYFUNCTION("""COMPUTED_VALUE"""),"สป.สธ.")</f>
        <v>สป.สธ.</v>
      </c>
      <c r="J22" s="86" t="str">
        <f>IFERROR(__xludf.DUMMYFUNCTION("""COMPUTED_VALUE"""),"ฉบับ พ.ย. 67")</f>
        <v>ฉบับ พ.ย. 67</v>
      </c>
      <c r="K22" s="3"/>
      <c r="L22" s="3"/>
    </row>
    <row r="23">
      <c r="A23" s="77">
        <v>17.0</v>
      </c>
      <c r="B23" s="3" t="str">
        <f>IFERROR(__xludf.DUMMYFUNCTION("""COMPUTED_VALUE"""),"ครุภัณฑ์การแพทย์")</f>
        <v>ครุภัณฑ์การแพทย์</v>
      </c>
      <c r="C23" s="3" t="str">
        <f>IFERROR(__xludf.DUMMYFUNCTION("""COMPUTED_VALUE"""),"ศัลยกรรมออร์โธปิดิกส์")</f>
        <v>ศัลยกรรมออร์โธปิดิกส์</v>
      </c>
      <c r="D23" s="3" t="str">
        <f>IFERROR(__xludf.DUMMYFUNCTION("""COMPUTED_VALUE"""),"ORT-9")</f>
        <v>ORT-9</v>
      </c>
      <c r="E23" s="3" t="str">
        <f>IFERROR(__xludf.DUMMYFUNCTION("""COMPUTED_VALUE"""),"สว่านใช้แรงดันลมขนาดเล็ก")</f>
        <v>สว่านใช้แรงดันลมขนาดเล็ก</v>
      </c>
      <c r="F23" s="3" t="str">
        <f>IFERROR(__xludf.DUMMYFUNCTION("""COMPUTED_VALUE"""),"The drill uses small air pressure")</f>
        <v>The drill uses small air pressure</v>
      </c>
      <c r="G23" s="85">
        <f>IFERROR(__xludf.DUMMYFUNCTION("""COMPUTED_VALUE"""),640000.0)</f>
        <v>640000</v>
      </c>
      <c r="H23" s="3" t="str">
        <f>IFERROR(__xludf.DUMMYFUNCTION("""COMPUTED_VALUE"""),"เครื่อง")</f>
        <v>เครื่อง</v>
      </c>
      <c r="I23" s="3" t="str">
        <f>IFERROR(__xludf.DUMMYFUNCTION("""COMPUTED_VALUE"""),"สป.สธ.")</f>
        <v>สป.สธ.</v>
      </c>
      <c r="J23" s="86" t="str">
        <f>IFERROR(__xludf.DUMMYFUNCTION("""COMPUTED_VALUE"""),"ฉบับ พ.ค. 65")</f>
        <v>ฉบับ พ.ค. 65</v>
      </c>
      <c r="K23" s="3"/>
      <c r="L23" s="3"/>
    </row>
    <row r="24">
      <c r="A24" s="77">
        <v>18.0</v>
      </c>
      <c r="B24" s="3" t="str">
        <f>IFERROR(__xludf.DUMMYFUNCTION("""COMPUTED_VALUE"""),"ครุภัณฑ์การแพทย์")</f>
        <v>ครุภัณฑ์การแพทย์</v>
      </c>
      <c r="C24" s="3" t="str">
        <f>IFERROR(__xludf.DUMMYFUNCTION("""COMPUTED_VALUE"""),"ศัลยกรรมออร์โธปิดิกส์")</f>
        <v>ศัลยกรรมออร์โธปิดิกส์</v>
      </c>
      <c r="D24" s="3" t="str">
        <f>IFERROR(__xludf.DUMMYFUNCTION("""COMPUTED_VALUE"""),"ORT-10")</f>
        <v>ORT-10</v>
      </c>
      <c r="E24" s="3" t="str">
        <f>IFERROR(__xludf.DUMMYFUNCTION("""COMPUTED_VALUE"""),"สว่านใช้แรงดันลมขนาดมาตรฐาน พร้อมเลื่อย")</f>
        <v>สว่านใช้แรงดันลมขนาดมาตรฐาน พร้อมเลื่อย</v>
      </c>
      <c r="F24" s="3" t="str">
        <f>IFERROR(__xludf.DUMMYFUNCTION("""COMPUTED_VALUE"""),"Standard size pneumatic drill with saw")</f>
        <v>Standard size pneumatic drill with saw</v>
      </c>
      <c r="G24" s="85">
        <f>IFERROR(__xludf.DUMMYFUNCTION("""COMPUTED_VALUE"""),730000.0)</f>
        <v>730000</v>
      </c>
      <c r="H24" s="3" t="str">
        <f>IFERROR(__xludf.DUMMYFUNCTION("""COMPUTED_VALUE"""),"เครื่อง")</f>
        <v>เครื่อง</v>
      </c>
      <c r="I24" s="3" t="str">
        <f>IFERROR(__xludf.DUMMYFUNCTION("""COMPUTED_VALUE"""),"สป.สธ.")</f>
        <v>สป.สธ.</v>
      </c>
      <c r="J24" s="86" t="str">
        <f>IFERROR(__xludf.DUMMYFUNCTION("""COMPUTED_VALUE"""),"ฉบับ พ.ค. 65")</f>
        <v>ฉบับ พ.ค. 65</v>
      </c>
      <c r="K24" s="3"/>
      <c r="L24" s="3"/>
    </row>
    <row r="25">
      <c r="A25" s="77">
        <v>19.0</v>
      </c>
      <c r="B25" s="3" t="str">
        <f>IFERROR(__xludf.DUMMYFUNCTION("""COMPUTED_VALUE"""),"ครุภัณฑ์การแพทย์")</f>
        <v>ครุภัณฑ์การแพทย์</v>
      </c>
      <c r="C25" s="3" t="str">
        <f>IFERROR(__xludf.DUMMYFUNCTION("""COMPUTED_VALUE"""),"ศัลยกรรมออร์โธปิดิกส์")</f>
        <v>ศัลยกรรมออร์โธปิดิกส์</v>
      </c>
      <c r="D25" s="3" t="str">
        <f>IFERROR(__xludf.DUMMYFUNCTION("""COMPUTED_VALUE"""),"ORT-19")</f>
        <v>ORT-19</v>
      </c>
      <c r="E25" s="3" t="str">
        <f>IFERROR(__xludf.DUMMYFUNCTION("""COMPUTED_VALUE"""),"ชุดเครื่องมือผ่าตัดกระดูกใช้แบตเตอรี่ (สว่านเจาะกระดูก) พร้อมหัวต่อครบชุด")</f>
        <v>ชุดเครื่องมือผ่าตัดกระดูกใช้แบตเตอรี่ (สว่านเจาะกระดูก) พร้อมหัวต่อครบชุด</v>
      </c>
      <c r="F25" s="3" t="str">
        <f>IFERROR(__xludf.DUMMYFUNCTION("""COMPUTED_VALUE"""),"Drill ")</f>
        <v>Drill </v>
      </c>
      <c r="G25" s="85">
        <f>IFERROR(__xludf.DUMMYFUNCTION("""COMPUTED_VALUE"""),2200000.0)</f>
        <v>2200000</v>
      </c>
      <c r="H25" s="3" t="str">
        <f>IFERROR(__xludf.DUMMYFUNCTION("""COMPUTED_VALUE"""),"ชุด")</f>
        <v>ชุด</v>
      </c>
      <c r="I25" s="3" t="str">
        <f>IFERROR(__xludf.DUMMYFUNCTION("""COMPUTED_VALUE"""),"สป.สธ.")</f>
        <v>สป.สธ.</v>
      </c>
      <c r="J25" s="3" t="str">
        <f>IFERROR(__xludf.DUMMYFUNCTION("""COMPUTED_VALUE"""),"ฉบับ พ.ย. 67")</f>
        <v>ฉบับ พ.ย. 67</v>
      </c>
      <c r="K25" s="3"/>
      <c r="L25" s="3"/>
    </row>
    <row r="26">
      <c r="A26" s="77">
        <v>20.0</v>
      </c>
      <c r="B26" s="3" t="str">
        <f>IFERROR(__xludf.DUMMYFUNCTION("""COMPUTED_VALUE"""),"ครุภัณฑ์การแพทย์")</f>
        <v>ครุภัณฑ์การแพทย์</v>
      </c>
      <c r="C26" s="3" t="str">
        <f>IFERROR(__xludf.DUMMYFUNCTION("""COMPUTED_VALUE"""),"สนับสนุนการแพทย์")</f>
        <v>สนับสนุนการแพทย์</v>
      </c>
      <c r="D26" s="3" t="str">
        <f>IFERROR(__xludf.DUMMYFUNCTION("""COMPUTED_VALUE"""),"MP-21")</f>
        <v>MP-21</v>
      </c>
      <c r="E26" s="3" t="str">
        <f>IFERROR(__xludf.DUMMYFUNCTION("""COMPUTED_VALUE"""),"หมวกเลเซอร์ปลูกผมโดยใช้เทคโนโลยีบำบัดด้วยแสงเลเซอร์กำลังต่ำ")</f>
        <v>หมวกเลเซอร์ปลูกผมโดยใช้เทคโนโลยีบำบัดด้วยแสงเลเซอร์กำลังต่ำ</v>
      </c>
      <c r="F26" s="3"/>
      <c r="G26" s="85">
        <f>IFERROR(__xludf.DUMMYFUNCTION("""COMPUTED_VALUE"""),60000.0)</f>
        <v>60000</v>
      </c>
      <c r="H26" s="3" t="str">
        <f>IFERROR(__xludf.DUMMYFUNCTION("""COMPUTED_VALUE"""),"ชุด")</f>
        <v>ชุด</v>
      </c>
      <c r="I26" s="3" t="str">
        <f>IFERROR(__xludf.DUMMYFUNCTION("""COMPUTED_VALUE"""),"นวัตกรรมไทย*")</f>
        <v>นวัตกรรมไทย*</v>
      </c>
      <c r="J26" s="3" t="str">
        <f>IFERROR(__xludf.DUMMYFUNCTION("""COMPUTED_VALUE"""),"ฉบับ พ.ย. 62")</f>
        <v>ฉบับ พ.ย. 62</v>
      </c>
      <c r="K26" s="3" t="str">
        <f>IFERROR(__xludf.DUMMYFUNCTION("""COMPUTED_VALUE"""),"พฤศจิกายน 2562 - พฤศจิกายน 2570 (8 ปี)")</f>
        <v>พฤศจิกายน 2562 - พฤศจิกายน 2570 (8 ปี)</v>
      </c>
      <c r="L26" s="87">
        <f>IFERROR(__xludf.DUMMYFUNCTION("""COMPUTED_VALUE"""),25689.0)</f>
        <v>25689</v>
      </c>
    </row>
    <row r="27">
      <c r="A27" s="77">
        <v>21.0</v>
      </c>
      <c r="B27" s="3" t="str">
        <f>IFERROR(__xludf.DUMMYFUNCTION("""COMPUTED_VALUE"""),"ครุภัณฑ์การแพทย์")</f>
        <v>ครุภัณฑ์การแพทย์</v>
      </c>
      <c r="C27" s="3" t="str">
        <f>IFERROR(__xludf.DUMMYFUNCTION("""COMPUTED_VALUE"""),"หู คอ จมูก")</f>
        <v>หู คอ จมูก</v>
      </c>
      <c r="D27" s="3" t="str">
        <f>IFERROR(__xludf.DUMMYFUNCTION("""COMPUTED_VALUE"""),"ENT-18")</f>
        <v>ENT-18</v>
      </c>
      <c r="E27" s="3" t="str">
        <f>IFERROR(__xludf.DUMMYFUNCTION("""COMPUTED_VALUE"""),"ชุดไฟส่องสวมศีรษะใช้ในการผ่าตัด 400 วัตต์")</f>
        <v>ชุดไฟส่องสวมศีรษะใช้ในการผ่าตัด 400 วัตต์</v>
      </c>
      <c r="F27" s="3" t="str">
        <f>IFERROR(__xludf.DUMMYFUNCTION("""COMPUTED_VALUE"""),"400 watt surgical headlamp")</f>
        <v>400 watt surgical headlamp</v>
      </c>
      <c r="G27" s="85">
        <f>IFERROR(__xludf.DUMMYFUNCTION("""COMPUTED_VALUE"""),650000.0)</f>
        <v>650000</v>
      </c>
      <c r="H27" s="3" t="str">
        <f>IFERROR(__xludf.DUMMYFUNCTION("""COMPUTED_VALUE"""),"ชุด")</f>
        <v>ชุด</v>
      </c>
      <c r="I27" s="3" t="str">
        <f>IFERROR(__xludf.DUMMYFUNCTION("""COMPUTED_VALUE"""),"สป.สธ.")</f>
        <v>สป.สธ.</v>
      </c>
      <c r="J27" s="86" t="str">
        <f>IFERROR(__xludf.DUMMYFUNCTION("""COMPUTED_VALUE"""),"ฉบับ พ.ค. 65")</f>
        <v>ฉบับ พ.ค. 65</v>
      </c>
      <c r="K27" s="3"/>
      <c r="L27" s="3"/>
    </row>
    <row r="28">
      <c r="A28" s="77">
        <v>22.0</v>
      </c>
      <c r="B28" s="3" t="str">
        <f>IFERROR(__xludf.DUMMYFUNCTION("""COMPUTED_VALUE"""),"ครุภัณฑ์การแพทย์")</f>
        <v>ครุภัณฑ์การแพทย์</v>
      </c>
      <c r="C28" s="3" t="str">
        <f>IFERROR(__xludf.DUMMYFUNCTION("""COMPUTED_VALUE"""),"อัลตราซาวด์")</f>
        <v>อัลตราซาวด์</v>
      </c>
      <c r="D28" s="3" t="str">
        <f>IFERROR(__xludf.DUMMYFUNCTION("""COMPUTED_VALUE"""),"US-4")</f>
        <v>US-4</v>
      </c>
      <c r="E28" s="3" t="str">
        <f>IFERROR(__xludf.DUMMYFUNCTION("""COMPUTED_VALUE"""),"เครื่องตรวจอวัยวะภายในด้วยคลื่นเสียงความถี่สูงชนิดใช้ในห้องผ่าตัด")</f>
        <v>เครื่องตรวจอวัยวะภายในด้วยคลื่นเสียงความถี่สูงชนิดใช้ในห้องผ่าตัด</v>
      </c>
      <c r="F28" s="3" t="str">
        <f>IFERROR(__xludf.DUMMYFUNCTION("""COMPUTED_VALUE"""),"Operating Room Doppler Ultrasound")</f>
        <v>Operating Room Doppler Ultrasound</v>
      </c>
      <c r="G28" s="85">
        <f>IFERROR(__xludf.DUMMYFUNCTION("""COMPUTED_VALUE"""),2000000.0)</f>
        <v>2000000</v>
      </c>
      <c r="H28" s="3" t="str">
        <f>IFERROR(__xludf.DUMMYFUNCTION("""COMPUTED_VALUE"""),"เครื่อง")</f>
        <v>เครื่อง</v>
      </c>
      <c r="I28" s="3" t="str">
        <f>IFERROR(__xludf.DUMMYFUNCTION("""COMPUTED_VALUE"""),"สป.สธ.")</f>
        <v>สป.สธ.</v>
      </c>
      <c r="J28" s="86" t="str">
        <f>IFERROR(__xludf.DUMMYFUNCTION("""COMPUTED_VALUE"""),"ฉบับ พ.ค. 65")</f>
        <v>ฉบับ พ.ค. 65</v>
      </c>
      <c r="K28" s="3"/>
      <c r="L28" s="3"/>
    </row>
    <row r="29">
      <c r="A29" s="77">
        <v>23.0</v>
      </c>
      <c r="B29" s="3" t="str">
        <f>IFERROR(__xludf.DUMMYFUNCTION("""COMPUTED_VALUE"""),"ครุภัณฑ์การแพทย์")</f>
        <v>ครุภัณฑ์การแพทย์</v>
      </c>
      <c r="C29" s="3" t="str">
        <f>IFERROR(__xludf.DUMMYFUNCTION("""COMPUTED_VALUE"""),"เอกซเรย์")</f>
        <v>เอกซเรย์</v>
      </c>
      <c r="D29" s="3" t="str">
        <f>IFERROR(__xludf.DUMMYFUNCTION("""COMPUTED_VALUE"""),"XR-21")</f>
        <v>XR-21</v>
      </c>
      <c r="E29" s="3" t="str">
        <f>IFERROR(__xludf.DUMMYFUNCTION("""COMPUTED_VALUE"""),"เครื่องเอกซเรย์หลอดเลือดชนิดระนาบเดี่ยวแบบใช้งานร่วมกับเตียงผ่าตัดชนิดไฮบริด")</f>
        <v>เครื่องเอกซเรย์หลอดเลือดชนิดระนาบเดี่ยวแบบใช้งานร่วมกับเตียงผ่าตัดชนิดไฮบริด</v>
      </c>
      <c r="F29" s="3" t="str">
        <f>IFERROR(__xludf.DUMMYFUNCTION("""COMPUTED_VALUE"""),"Single Plane Hybrid OR Digital Subtraction Angiography")</f>
        <v>Single Plane Hybrid OR Digital Subtraction Angiography</v>
      </c>
      <c r="G29" s="85">
        <f>IFERROR(__xludf.DUMMYFUNCTION("""COMPUTED_VALUE"""),6.0E7)</f>
        <v>60000000</v>
      </c>
      <c r="H29" s="3" t="str">
        <f>IFERROR(__xludf.DUMMYFUNCTION("""COMPUTED_VALUE"""),"เครื่อง")</f>
        <v>เครื่อง</v>
      </c>
      <c r="I29" s="3" t="str">
        <f>IFERROR(__xludf.DUMMYFUNCTION("""COMPUTED_VALUE"""),"สป.สธ.")</f>
        <v>สป.สธ.</v>
      </c>
      <c r="J29" s="86" t="str">
        <f>IFERROR(__xludf.DUMMYFUNCTION("""COMPUTED_VALUE"""),"ฉบับ พ.ค. 65")</f>
        <v>ฉบับ พ.ค. 65</v>
      </c>
      <c r="K29" s="3"/>
      <c r="L29" s="3"/>
    </row>
    <row r="30">
      <c r="A30" s="77">
        <v>24.0</v>
      </c>
      <c r="B30" s="3" t="str">
        <f>IFERROR(__xludf.DUMMYFUNCTION("""COMPUTED_VALUE"""),"ครุภัณฑ์การแพทย์")</f>
        <v>ครุภัณฑ์การแพทย์</v>
      </c>
      <c r="C30" s="3" t="str">
        <f>IFERROR(__xludf.DUMMYFUNCTION("""COMPUTED_VALUE"""),"รังสีวินิจฉัย")</f>
        <v>รังสีวินิจฉัย</v>
      </c>
      <c r="D30" s="3" t="str">
        <f>IFERROR(__xludf.DUMMYFUNCTION("""COMPUTED_VALUE"""),"DR-1")</f>
        <v>DR-1</v>
      </c>
      <c r="E30" s="3" t="str">
        <f>IFERROR(__xludf.DUMMYFUNCTION("""COMPUTED_VALUE"""),"เครื่องวางแผนการรักษาระยะใกล้สำหรับมะเร็งต่อมลูกหมากแบบใช้ภาพอัลตราซาวด์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f>
        <v>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v>
      </c>
      <c r="F30" s="3" t="str">
        <f>IFERROR(__xludf.DUMMYFUNCTION("""COMPUTED_VALUE"""),"Ultrasound-Guided Brachytherapy Planning System for Prostate Cancer with Ultrasound Unit and Accessories")</f>
        <v>Ultrasound-Guided Brachytherapy Planning System for Prostate Cancer with Ultrasound Unit and Accessories</v>
      </c>
      <c r="G30" s="85">
        <f>IFERROR(__xludf.DUMMYFUNCTION("""COMPUTED_VALUE"""),1.2E7)</f>
        <v>12000000</v>
      </c>
      <c r="H30" s="3" t="str">
        <f>IFERROR(__xludf.DUMMYFUNCTION("""COMPUTED_VALUE"""),"เครื่อง")</f>
        <v>เครื่อง</v>
      </c>
      <c r="I30" s="3" t="str">
        <f>IFERROR(__xludf.DUMMYFUNCTION("""COMPUTED_VALUE"""),"สป.สธ.")</f>
        <v>สป.สธ.</v>
      </c>
      <c r="J30" s="3" t="str">
        <f>IFERROR(__xludf.DUMMYFUNCTION("""COMPUTED_VALUE"""),"ฉบับ พ.ย. 67")</f>
        <v>ฉบับ พ.ย. 67</v>
      </c>
      <c r="K30" s="3"/>
      <c r="L30" s="3"/>
    </row>
    <row r="31">
      <c r="A31" s="77">
        <v>25.0</v>
      </c>
      <c r="B31" s="3" t="str">
        <f>IFERROR(__xludf.DUMMYFUNCTION("""COMPUTED_VALUE"""),"ครุภัณฑ์การแพทย์")</f>
        <v>ครุภัณฑ์การแพทย์</v>
      </c>
      <c r="C31" s="3" t="str">
        <f>IFERROR(__xludf.DUMMYFUNCTION("""COMPUTED_VALUE"""),"คลินิกส่งเสริมการมีบุตร")</f>
        <v>คลินิกส่งเสริมการมีบุตร</v>
      </c>
      <c r="D31" s="3" t="str">
        <f>IFERROR(__xludf.DUMMYFUNCTION("""COMPUTED_VALUE"""),"FC-9")</f>
        <v>FC-9</v>
      </c>
      <c r="E31" s="3" t="str">
        <f>IFERROR(__xludf.DUMMYFUNCTION("""COMPUTED_VALUE"""),"ตู้เพาะเลี้ยงตัวอ่อน BENCHTOP INCUBATOR (12 เคส) ใช้แก๊ส CO2+N2")</f>
        <v>ตู้เพาะเลี้ยงตัวอ่อน BENCHTOP INCUBATOR (12 เคส) ใช้แก๊ส CO2+N2</v>
      </c>
      <c r="F31" s="3" t="str">
        <f>IFERROR(__xludf.DUMMYFUNCTION("""COMPUTED_VALUE"""),"BENCHTOP INCUBATOR")</f>
        <v>BENCHTOP INCUBATOR</v>
      </c>
      <c r="G31" s="85">
        <f>IFERROR(__xludf.DUMMYFUNCTION("""COMPUTED_VALUE"""),1300000.0)</f>
        <v>1300000</v>
      </c>
      <c r="H31" s="3" t="str">
        <f>IFERROR(__xludf.DUMMYFUNCTION("""COMPUTED_VALUE"""),"ตู้")</f>
        <v>ตู้</v>
      </c>
      <c r="I31" s="3" t="str">
        <f>IFERROR(__xludf.DUMMYFUNCTION("""COMPUTED_VALUE"""),"สป.สธ.")</f>
        <v>สป.สธ.</v>
      </c>
      <c r="J31" s="3" t="str">
        <f>IFERROR(__xludf.DUMMYFUNCTION("""COMPUTED_VALUE"""),"ฉบับ พ.ย. 67")</f>
        <v>ฉบับ พ.ย. 67</v>
      </c>
      <c r="K31" s="3"/>
      <c r="L31" s="3"/>
    </row>
    <row r="32">
      <c r="A32" s="77">
        <v>26.0</v>
      </c>
      <c r="B32" s="3" t="str">
        <f>IFERROR(__xludf.DUMMYFUNCTION("""COMPUTED_VALUE"""),"ครุภัณฑ์การแพทย์")</f>
        <v>ครุภัณฑ์การแพทย์</v>
      </c>
      <c r="C32" s="3" t="str">
        <f>IFERROR(__xludf.DUMMYFUNCTION("""COMPUTED_VALUE"""),"คลินิกส่งเสริมการมีบุตร")</f>
        <v>คลินิกส่งเสริมการมีบุตร</v>
      </c>
      <c r="D32" s="3" t="str">
        <f>IFERROR(__xludf.DUMMYFUNCTION("""COMPUTED_VALUE"""),"FC-10")</f>
        <v>FC-10</v>
      </c>
      <c r="E32" s="3" t="str">
        <f>IFERROR(__xludf.DUMMYFUNCTION("""COMPUTED_VALUE"""),"ตู้บ่มแบบใช้แก๊สคาร์บอนไดออกไซด์ CO2 Incubator ขนาด 80 ลิตร")</f>
        <v>ตู้บ่มแบบใช้แก๊สคาร์บอนไดออกไซด์ CO2 Incubator ขนาด 80 ลิตร</v>
      </c>
      <c r="F32" s="3" t="str">
        <f>IFERROR(__xludf.DUMMYFUNCTION("""COMPUTED_VALUE"""),"AirJacket")</f>
        <v>AirJacket</v>
      </c>
      <c r="G32" s="85">
        <f>IFERROR(__xludf.DUMMYFUNCTION("""COMPUTED_VALUE"""),380000.0)</f>
        <v>380000</v>
      </c>
      <c r="H32" s="3" t="str">
        <f>IFERROR(__xludf.DUMMYFUNCTION("""COMPUTED_VALUE"""),"ตู้")</f>
        <v>ตู้</v>
      </c>
      <c r="I32" s="3" t="str">
        <f>IFERROR(__xludf.DUMMYFUNCTION("""COMPUTED_VALUE"""),"สป.สธ.")</f>
        <v>สป.สธ.</v>
      </c>
      <c r="J32" s="3" t="str">
        <f>IFERROR(__xludf.DUMMYFUNCTION("""COMPUTED_VALUE"""),"ฉบับ พ.ย. 67")</f>
        <v>ฉบับ พ.ย. 67</v>
      </c>
      <c r="K32" s="3"/>
      <c r="L32" s="3"/>
    </row>
    <row r="33">
      <c r="A33" s="77">
        <v>27.0</v>
      </c>
      <c r="B33" s="3" t="str">
        <f>IFERROR(__xludf.DUMMYFUNCTION("""COMPUTED_VALUE"""),"ครุภัณฑ์การเกษตร")</f>
        <v>ครุภัณฑ์การเกษตร</v>
      </c>
      <c r="C33" s="3" t="str">
        <f>IFERROR(__xludf.DUMMYFUNCTION("""COMPUTED_VALUE"""),"การเกษตร")</f>
        <v>การเกษตร</v>
      </c>
      <c r="D33" s="3" t="str">
        <f>IFERROR(__xludf.DUMMYFUNCTION("""COMPUTED_VALUE"""),"AC-3")</f>
        <v>AC-3</v>
      </c>
      <c r="E33" s="3" t="str">
        <f>IFERROR(__xludf.DUMMYFUNCTION("""COMPUTED_VALUE"""),"เครื่องพ่นยา แบบใช้แรงลม ชนิดสะพายหลัง")</f>
        <v>เครื่องพ่นยา แบบใช้แรงลม ชนิดสะพายหลัง</v>
      </c>
      <c r="F33" s="3"/>
      <c r="G33" s="85">
        <f>IFERROR(__xludf.DUMMYFUNCTION("""COMPUTED_VALUE"""),24500.0)</f>
        <v>24500</v>
      </c>
      <c r="H33" s="3" t="str">
        <f>IFERROR(__xludf.DUMMYFUNCTION("""COMPUTED_VALUE"""),"เครื่อง")</f>
        <v>เครื่อง</v>
      </c>
      <c r="I33" s="3" t="str">
        <f>IFERROR(__xludf.DUMMYFUNCTION("""COMPUTED_VALUE"""),"สำนักงบประมาณ*")</f>
        <v>สำนักงบประมาณ*</v>
      </c>
      <c r="J33" s="3" t="str">
        <f>IFERROR(__xludf.DUMMYFUNCTION("""COMPUTED_VALUE"""),"ฉบับ ธ.ค. 68")</f>
        <v>ฉบับ ธ.ค. 68</v>
      </c>
      <c r="K33" s="3"/>
      <c r="L33" s="3"/>
    </row>
    <row r="34">
      <c r="A34" s="77">
        <v>28.0</v>
      </c>
      <c r="B34" s="3" t="str">
        <f>IFERROR(__xludf.DUMMYFUNCTION("""COMPUTED_VALUE"""),"ครุภัณฑ์การเกษตร")</f>
        <v>ครุภัณฑ์การเกษตร</v>
      </c>
      <c r="C34" s="3" t="str">
        <f>IFERROR(__xludf.DUMMYFUNCTION("""COMPUTED_VALUE"""),"การเกษตร")</f>
        <v>การเกษตร</v>
      </c>
      <c r="D34" s="3" t="str">
        <f>IFERROR(__xludf.DUMMYFUNCTION("""COMPUTED_VALUE"""),"AC-53")</f>
        <v>AC-53</v>
      </c>
      <c r="E34" s="3" t="str">
        <f>IFERROR(__xludf.DUMMYFUNCTION("""COMPUTED_VALUE"""),"เครื่องพ่นยา แบบใช้แรงดันของเหลว ชนิดตั้งพื้น ขนาด 4.5 แรงม้า")</f>
        <v>เครื่องพ่นยา แบบใช้แรงดันของเหลว ชนิดตั้งพื้น ขนาด 4.5 แรงม้า</v>
      </c>
      <c r="F34" s="3"/>
      <c r="G34" s="85">
        <f>IFERROR(__xludf.DUMMYFUNCTION("""COMPUTED_VALUE"""),9700.0)</f>
        <v>9700</v>
      </c>
      <c r="H34" s="3" t="str">
        <f>IFERROR(__xludf.DUMMYFUNCTION("""COMPUTED_VALUE"""),"เครื่อง")</f>
        <v>เครื่อง</v>
      </c>
      <c r="I34" s="3" t="str">
        <f>IFERROR(__xludf.DUMMYFUNCTION("""COMPUTED_VALUE"""),"สำนักงบประมาณ*")</f>
        <v>สำนักงบประมาณ*</v>
      </c>
      <c r="J34" s="3" t="str">
        <f>IFERROR(__xludf.DUMMYFUNCTION("""COMPUTED_VALUE"""),"ฉบับ ธ.ค. 68")</f>
        <v>ฉบับ ธ.ค. 68</v>
      </c>
      <c r="K34" s="3"/>
      <c r="L34" s="3"/>
    </row>
    <row r="35">
      <c r="A35" s="77">
        <v>29.0</v>
      </c>
      <c r="B35" s="3" t="str">
        <f>IFERROR(__xludf.DUMMYFUNCTION("""COMPUTED_VALUE"""),"ครุภัณฑ์การเกษตร")</f>
        <v>ครุภัณฑ์การเกษตร</v>
      </c>
      <c r="C35" s="3" t="str">
        <f>IFERROR(__xludf.DUMMYFUNCTION("""COMPUTED_VALUE"""),"การเกษตร")</f>
        <v>การเกษตร</v>
      </c>
      <c r="D35" s="3" t="str">
        <f>IFERROR(__xludf.DUMMYFUNCTION("""COMPUTED_VALUE"""),"AC-54")</f>
        <v>AC-54</v>
      </c>
      <c r="E35" s="3" t="str">
        <f>IFERROR(__xludf.DUMMYFUNCTION("""COMPUTED_VALUE"""),"เครื่องพ่นยา แบบใช้แรงดันของเหลว ชนิดตั้งพื้น ขนาด 5.5 แรงม้า")</f>
        <v>เครื่องพ่นยา แบบใช้แรงดันของเหลว ชนิดตั้งพื้น ขนาด 5.5 แรงม้า</v>
      </c>
      <c r="F35" s="3"/>
      <c r="G35" s="85">
        <f>IFERROR(__xludf.DUMMYFUNCTION("""COMPUTED_VALUE"""),12100.0)</f>
        <v>12100</v>
      </c>
      <c r="H35" s="3" t="str">
        <f>IFERROR(__xludf.DUMMYFUNCTION("""COMPUTED_VALUE"""),"เครื่อง")</f>
        <v>เครื่อง</v>
      </c>
      <c r="I35" s="3" t="str">
        <f>IFERROR(__xludf.DUMMYFUNCTION("""COMPUTED_VALUE"""),"สำนักงบประมาณ*")</f>
        <v>สำนักงบประมาณ*</v>
      </c>
      <c r="J35" s="3" t="str">
        <f>IFERROR(__xludf.DUMMYFUNCTION("""COMPUTED_VALUE"""),"ฉบับ ธ.ค. 68")</f>
        <v>ฉบับ ธ.ค. 68</v>
      </c>
      <c r="K35" s="3"/>
      <c r="L35" s="3"/>
    </row>
    <row r="36">
      <c r="A36" s="77">
        <v>30.0</v>
      </c>
      <c r="B36" s="3" t="str">
        <f>IFERROR(__xludf.DUMMYFUNCTION("""COMPUTED_VALUE"""),"ครุภัณฑ์คอมพิวเตอร์")</f>
        <v>ครุภัณฑ์คอมพิวเตอร์</v>
      </c>
      <c r="C36" s="3" t="str">
        <f>IFERROR(__xludf.DUMMYFUNCTION("""COMPUTED_VALUE"""),"กล้องโทรทัศน์วงจรปิด")</f>
        <v>กล้องโทรทัศน์วงจรปิด</v>
      </c>
      <c r="D36" s="3" t="str">
        <f>IFERROR(__xludf.DUMMYFUNCTION("""COMPUTED_VALUE"""),"CCTV-2")</f>
        <v>CCTV-2</v>
      </c>
      <c r="E36" s="3" t="str">
        <f>IFERROR(__xludf.DUMMYFUNCTION("""COMPUTED_VALUE"""),"กล้องโทรทัศน์วงจรปิดชนิดเครือข่าย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f>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
      <c r="F36" s="3" t="str">
        <f>IFERROR(__xludf.DUMMYFUNCTION("""COMPUTED_VALUE"""),"closed circuit television network type Fixed view type for indoor installation for use in general security and other tasks")</f>
        <v>closed circuit television network type Fixed view type for indoor installation for use in general security and other tasks</v>
      </c>
      <c r="G36" s="85">
        <f>IFERROR(__xludf.DUMMYFUNCTION("""COMPUTED_VALUE"""),16000.0)</f>
        <v>16000</v>
      </c>
      <c r="H36" s="3" t="str">
        <f>IFERROR(__xludf.DUMMYFUNCTION("""COMPUTED_VALUE"""),"ชุด")</f>
        <v>ชุด</v>
      </c>
      <c r="I36" s="3" t="str">
        <f>IFERROR(__xludf.DUMMYFUNCTION("""COMPUTED_VALUE"""),"กระทรวงดิจิตัล*")</f>
        <v>กระทรวงดิจิตัล*</v>
      </c>
      <c r="J36" s="3" t="str">
        <f>IFERROR(__xludf.DUMMYFUNCTION("""COMPUTED_VALUE"""),"ฉบับ มิ.ย. 64")</f>
        <v>ฉบับ มิ.ย. 64</v>
      </c>
      <c r="K36" s="3"/>
      <c r="L36" s="3"/>
    </row>
    <row r="37">
      <c r="A37" s="77">
        <v>31.0</v>
      </c>
      <c r="B37" s="3" t="str">
        <f>IFERROR(__xludf.DUMMYFUNCTION("""COMPUTED_VALUE"""),"ครุภัณฑ์คอมพิวเตอร์")</f>
        <v>ครุภัณฑ์คอมพิวเตอร์</v>
      </c>
      <c r="C37" s="3" t="str">
        <f>IFERROR(__xludf.DUMMYFUNCTION("""COMPUTED_VALUE"""),"กล้องโทรทัศน์วงจรปิด")</f>
        <v>กล้องโทรทัศน์วงจรปิด</v>
      </c>
      <c r="D37" s="3" t="str">
        <f>IFERROR(__xludf.DUMMYFUNCTION("""COMPUTED_VALUE"""),"CCTV-4")</f>
        <v>CCTV-4</v>
      </c>
      <c r="E37" s="3" t="str">
        <f>IFERROR(__xludf.DUMMYFUNCTION("""COMPUTED_VALUE"""),"กล้องโทรทัศน์วงจรปิดชนิดเครือข่าย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f>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
      <c r="F37" s="3" t="str">
        <f>IFERROR(__xludf.DUMMYFUNCTION("""COMPUTED_VALUE"""),"closed circuit television network type Fixed view type for indoor installation, Type 1 for use in security, image analysis and other applications.")</f>
        <v>closed circuit television network type Fixed view type for indoor installation, Type 1 for use in security, image analysis and other applications.</v>
      </c>
      <c r="G37" s="85">
        <f>IFERROR(__xludf.DUMMYFUNCTION("""COMPUTED_VALUE"""),38000.0)</f>
        <v>38000</v>
      </c>
      <c r="H37" s="3" t="str">
        <f>IFERROR(__xludf.DUMMYFUNCTION("""COMPUTED_VALUE"""),"ชุด")</f>
        <v>ชุด</v>
      </c>
      <c r="I37" s="3" t="str">
        <f>IFERROR(__xludf.DUMMYFUNCTION("""COMPUTED_VALUE"""),"กระทรวงดิจิตัล*")</f>
        <v>กระทรวงดิจิตัล*</v>
      </c>
      <c r="J37" s="3" t="str">
        <f>IFERROR(__xludf.DUMMYFUNCTION("""COMPUTED_VALUE"""),"ฉบับ มิ.ย. 64")</f>
        <v>ฉบับ มิ.ย. 64</v>
      </c>
      <c r="K37" s="3"/>
      <c r="L37" s="3"/>
    </row>
    <row r="38">
      <c r="A38" s="77">
        <v>32.0</v>
      </c>
      <c r="B38" s="3" t="str">
        <f>IFERROR(__xludf.DUMMYFUNCTION("""COMPUTED_VALUE"""),"ครุภัณฑ์คอมพิวเตอร์")</f>
        <v>ครุภัณฑ์คอมพิวเตอร์</v>
      </c>
      <c r="C38" s="3" t="str">
        <f>IFERROR(__xludf.DUMMYFUNCTION("""COMPUTED_VALUE"""),"กล้องโทรทัศน์วงจรปิด")</f>
        <v>กล้องโทรทัศน์วงจรปิด</v>
      </c>
      <c r="D38" s="3" t="str">
        <f>IFERROR(__xludf.DUMMYFUNCTION("""COMPUTED_VALUE"""),"CCTV-5")</f>
        <v>CCTV-5</v>
      </c>
      <c r="E38" s="3" t="str">
        <f>IFERROR(__xludf.DUMMYFUNCTION("""COMPUTED_VALUE"""),"กล้องโทรทัศน์วงจรปิดชนิดเครือข่าย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f>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
      <c r="F38" s="3" t="str">
        <f>IFERROR(__xludf.DUMMYFUNCTION("""COMPUTED_VALUE"""),"closed circuit television network type Fixed view type for indoor installation, Type 2 for use in security, image analysis and other applications.")</f>
        <v>closed circuit television network type Fixed view type for indoor installation, Type 2 for use in security, image analysis and other applications.</v>
      </c>
      <c r="G38" s="85">
        <f>IFERROR(__xludf.DUMMYFUNCTION("""COMPUTED_VALUE"""),44000.0)</f>
        <v>44000</v>
      </c>
      <c r="H38" s="3" t="str">
        <f>IFERROR(__xludf.DUMMYFUNCTION("""COMPUTED_VALUE"""),"ชุด")</f>
        <v>ชุด</v>
      </c>
      <c r="I38" s="3" t="str">
        <f>IFERROR(__xludf.DUMMYFUNCTION("""COMPUTED_VALUE"""),"กระทรวงดิจิตัล*")</f>
        <v>กระทรวงดิจิตัล*</v>
      </c>
      <c r="J38" s="3" t="str">
        <f>IFERROR(__xludf.DUMMYFUNCTION("""COMPUTED_VALUE"""),"ฉบับ มิ.ย. 64")</f>
        <v>ฉบับ มิ.ย. 64</v>
      </c>
      <c r="K38" s="3"/>
      <c r="L38" s="3"/>
    </row>
    <row r="39">
      <c r="A39" s="77">
        <v>33.0</v>
      </c>
      <c r="B39" s="3" t="str">
        <f>IFERROR(__xludf.DUMMYFUNCTION("""COMPUTED_VALUE"""),"ครุภัณฑ์คอมพิวเตอร์")</f>
        <v>ครุภัณฑ์คอมพิวเตอร์</v>
      </c>
      <c r="C39" s="3" t="str">
        <f>IFERROR(__xludf.DUMMYFUNCTION("""COMPUTED_VALUE"""),"กล้องโทรทัศน์วงจรปิด")</f>
        <v>กล้องโทรทัศน์วงจรปิด</v>
      </c>
      <c r="D39" s="3" t="str">
        <f>IFERROR(__xludf.DUMMYFUNCTION("""COMPUTED_VALUE"""),"CCTV-9")</f>
        <v>CCTV-9</v>
      </c>
      <c r="E39" s="3" t="str">
        <f>IFERROR(__xludf.DUMMYFUNCTION("""COMPUTED_VALUE"""),"กล้องโทรทัศน์วงจรปิดชนิดเครือข่าย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f>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
      <c r="F39" s="3" t="str">
        <f>IFERROR(__xludf.DUMMYFUNCTION("""COMPUTED_VALUE"""),"closed circuit television network type fixed view typefor use in general security and other tasks")</f>
        <v>closed circuit television network type fixed view typefor use in general security and other tasks</v>
      </c>
      <c r="G39" s="85">
        <f>IFERROR(__xludf.DUMMYFUNCTION("""COMPUTED_VALUE"""),22000.0)</f>
        <v>22000</v>
      </c>
      <c r="H39" s="3" t="str">
        <f>IFERROR(__xludf.DUMMYFUNCTION("""COMPUTED_VALUE"""),"ชุด")</f>
        <v>ชุด</v>
      </c>
      <c r="I39" s="3" t="str">
        <f>IFERROR(__xludf.DUMMYFUNCTION("""COMPUTED_VALUE"""),"กระทรวงดิจิตัล*")</f>
        <v>กระทรวงดิจิตัล*</v>
      </c>
      <c r="J39" s="3" t="str">
        <f>IFERROR(__xludf.DUMMYFUNCTION("""COMPUTED_VALUE"""),"ฉบับ มิ.ย. 64")</f>
        <v>ฉบับ มิ.ย. 64</v>
      </c>
      <c r="K39" s="3"/>
      <c r="L39" s="3"/>
    </row>
    <row r="40">
      <c r="A40" s="77">
        <v>34.0</v>
      </c>
      <c r="B40" s="3" t="str">
        <f>IFERROR(__xludf.DUMMYFUNCTION("""COMPUTED_VALUE"""),"ครุภัณฑ์คอมพิวเตอร์")</f>
        <v>ครุภัณฑ์คอมพิวเตอร์</v>
      </c>
      <c r="C40" s="3" t="str">
        <f>IFERROR(__xludf.DUMMYFUNCTION("""COMPUTED_VALUE"""),"กล้องโทรทัศน์วงจรปิด")</f>
        <v>กล้องโทรทัศน์วงจรปิด</v>
      </c>
      <c r="D40" s="3" t="str">
        <f>IFERROR(__xludf.DUMMYFUNCTION("""COMPUTED_VALUE"""),"CCTV-12")</f>
        <v>CCTV-12</v>
      </c>
      <c r="E40" s="3" t="str">
        <f>IFERROR(__xludf.DUMMYFUNCTION("""COMPUTED_VALUE"""),"กล้องโทรทัศน์วงจรปิดชนิดเครือข่าย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f>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
      <c r="F40" s="3"/>
      <c r="G40" s="85">
        <f>IFERROR(__xludf.DUMMYFUNCTION("""COMPUTED_VALUE"""),53000.0)</f>
        <v>53000</v>
      </c>
      <c r="H40" s="3" t="str">
        <f>IFERROR(__xludf.DUMMYFUNCTION("""COMPUTED_VALUE"""),"ชุด")</f>
        <v>ชุด</v>
      </c>
      <c r="I40" s="3" t="str">
        <f>IFERROR(__xludf.DUMMYFUNCTION("""COMPUTED_VALUE"""),"กระทรวงดิจิตัล*")</f>
        <v>กระทรวงดิจิตัล*</v>
      </c>
      <c r="J40" s="3" t="str">
        <f>IFERROR(__xludf.DUMMYFUNCTION("""COMPUTED_VALUE"""),"ฉบับ มิ.ย. 64")</f>
        <v>ฉบับ มิ.ย. 64</v>
      </c>
      <c r="K40" s="3"/>
      <c r="L40" s="3"/>
    </row>
    <row r="41">
      <c r="A41" s="77">
        <v>35.0</v>
      </c>
      <c r="B41" s="3" t="str">
        <f>IFERROR(__xludf.DUMMYFUNCTION("""COMPUTED_VALUE"""),"ครุภัณฑ์คอมพิวเตอร์")</f>
        <v>ครุภัณฑ์คอมพิวเตอร์</v>
      </c>
      <c r="C41" s="3" t="str">
        <f>IFERROR(__xludf.DUMMYFUNCTION("""COMPUTED_VALUE"""),"กล้องโทรทัศน์วงจรปิด")</f>
        <v>กล้องโทรทัศน์วงจรปิด</v>
      </c>
      <c r="D41" s="3" t="str">
        <f>IFERROR(__xludf.DUMMYFUNCTION("""COMPUTED_VALUE"""),"CCTV-13")</f>
        <v>CCTV-13</v>
      </c>
      <c r="E41" s="3" t="str">
        <f>IFERROR(__xludf.DUMMYFUNCTION("""COMPUTED_VALUE"""),"กล้องโทรทัศน์วงจรปิดชนิดเครือข่าย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f>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
      <c r="F41" s="3"/>
      <c r="G41" s="85">
        <f>IFERROR(__xludf.DUMMYFUNCTION("""COMPUTED_VALUE"""),55000.0)</f>
        <v>55000</v>
      </c>
      <c r="H41" s="3" t="str">
        <f>IFERROR(__xludf.DUMMYFUNCTION("""COMPUTED_VALUE"""),"ชุด")</f>
        <v>ชุด</v>
      </c>
      <c r="I41" s="3" t="str">
        <f>IFERROR(__xludf.DUMMYFUNCTION("""COMPUTED_VALUE"""),"กระทรวงดิจิตัล*")</f>
        <v>กระทรวงดิจิตัล*</v>
      </c>
      <c r="J41" s="3" t="str">
        <f>IFERROR(__xludf.DUMMYFUNCTION("""COMPUTED_VALUE"""),"ฉบับ มิ.ย. 64")</f>
        <v>ฉบับ มิ.ย. 64</v>
      </c>
      <c r="K41" s="3"/>
      <c r="L41" s="3"/>
    </row>
    <row r="42">
      <c r="A42" s="77">
        <v>36.0</v>
      </c>
      <c r="B42" s="3" t="str">
        <f>IFERROR(__xludf.DUMMYFUNCTION("""COMPUTED_VALUE"""),"ครุภัณฑ์คอมพิวเตอร์")</f>
        <v>ครุภัณฑ์คอมพิวเตอร์</v>
      </c>
      <c r="C42" s="3" t="str">
        <f>IFERROR(__xludf.DUMMYFUNCTION("""COMPUTED_VALUE"""),"กล้องโทรทัศน์วงจรปิด")</f>
        <v>กล้องโทรทัศน์วงจรปิด</v>
      </c>
      <c r="D42" s="3" t="str">
        <f>IFERROR(__xludf.DUMMYFUNCTION("""COMPUTED_VALUE"""),"CCTV-16")</f>
        <v>CCTV-16</v>
      </c>
      <c r="E42" s="3" t="str">
        <f>IFERROR(__xludf.DUMMYFUNCTION("""COMPUTED_VALUE"""),"กล้องโทรทัศน์วงจรปิดชนิดเครือข่าย แบบปรับมุมมอง สำหรับใช้ในงานรักษาความปลอดภัยทั่วไปและงานอื่นๆ")</f>
        <v>กล้องโทรทัศน์วงจรปิดชนิดเครือข่าย แบบปรับมุมมอง สำหรับใช้ในงานรักษาความปลอดภัยทั่วไปและงานอื่นๆ</v>
      </c>
      <c r="F42" s="3"/>
      <c r="G42" s="85">
        <f>IFERROR(__xludf.DUMMYFUNCTION("""COMPUTED_VALUE"""),61000.0)</f>
        <v>61000</v>
      </c>
      <c r="H42" s="3" t="str">
        <f>IFERROR(__xludf.DUMMYFUNCTION("""COMPUTED_VALUE"""),"ชุด")</f>
        <v>ชุด</v>
      </c>
      <c r="I42" s="3" t="str">
        <f>IFERROR(__xludf.DUMMYFUNCTION("""COMPUTED_VALUE"""),"กระทรวงดิจิตัล*")</f>
        <v>กระทรวงดิจิตัล*</v>
      </c>
      <c r="J42" s="3" t="str">
        <f>IFERROR(__xludf.DUMMYFUNCTION("""COMPUTED_VALUE"""),"ฉบับ มิ.ย. 64")</f>
        <v>ฉบับ มิ.ย. 64</v>
      </c>
      <c r="K42" s="3"/>
      <c r="L42" s="3"/>
    </row>
    <row r="43">
      <c r="A43" s="77">
        <v>37.0</v>
      </c>
      <c r="B43" s="3" t="str">
        <f>IFERROR(__xludf.DUMMYFUNCTION("""COMPUTED_VALUE"""),"ครุภัณฑ์คอมพิวเตอร์")</f>
        <v>ครุภัณฑ์คอมพิวเตอร์</v>
      </c>
      <c r="C43" s="3" t="str">
        <f>IFERROR(__xludf.DUMMYFUNCTION("""COMPUTED_VALUE"""),"คอมพิวเตอร์และอุปกรณ์")</f>
        <v>คอมพิวเตอร์และอุปกรณ์</v>
      </c>
      <c r="D43" s="3" t="str">
        <f>IFERROR(__xludf.DUMMYFUNCTION("""COMPUTED_VALUE"""),"COM-29")</f>
        <v>COM-29</v>
      </c>
      <c r="E43" s="3" t="str">
        <f>IFERROR(__xludf.DUMMYFUNCTION("""COMPUTED_VALUE"""),"เครื่องพิมพ์แบบใช้ความร้อน (Thermal Printer)")</f>
        <v>เครื่องพิมพ์แบบใช้ความร้อน (Thermal Printer)</v>
      </c>
      <c r="F43" s="3"/>
      <c r="G43" s="85">
        <f>IFERROR(__xludf.DUMMYFUNCTION("""COMPUTED_VALUE"""),11000.0)</f>
        <v>11000</v>
      </c>
      <c r="H43" s="3" t="str">
        <f>IFERROR(__xludf.DUMMYFUNCTION("""COMPUTED_VALUE"""),"เครื่อง")</f>
        <v>เครื่อง</v>
      </c>
      <c r="I43" s="3" t="str">
        <f>IFERROR(__xludf.DUMMYFUNCTION("""COMPUTED_VALUE"""),"กระทรวงดิจิตัล*")</f>
        <v>กระทรวงดิจิตัล*</v>
      </c>
      <c r="J43" s="3" t="str">
        <f>IFERROR(__xludf.DUMMYFUNCTION("""COMPUTED_VALUE"""),"ฉบับ ธ.ค. 68")</f>
        <v>ฉบับ ธ.ค. 68</v>
      </c>
      <c r="K43" s="3"/>
      <c r="L43" s="3"/>
    </row>
    <row r="44">
      <c r="A44" s="77">
        <v>38.0</v>
      </c>
      <c r="B44" s="3" t="str">
        <f>IFERROR(__xludf.DUMMYFUNCTION("""COMPUTED_VALUE"""),"ครุภัณฑ์คอมพิวเตอร์")</f>
        <v>ครุภัณฑ์คอมพิวเตอร์</v>
      </c>
      <c r="C44" s="3" t="str">
        <f>IFERROR(__xludf.DUMMYFUNCTION("""COMPUTED_VALUE"""),"คอมพิวเตอร์และอุปกรณ์")</f>
        <v>คอมพิวเตอร์และอุปกรณ์</v>
      </c>
      <c r="D44" s="3" t="str">
        <f>IFERROR(__xludf.DUMMYFUNCTION("""COMPUTED_VALUE"""),"COM-39")</f>
        <v>COM-39</v>
      </c>
      <c r="E44" s="3" t="str">
        <f>IFERROR(__xludf.DUMMYFUNCTION("""COMPUTED_VALUE"""),"ชุดโปรแกรมระบบปฏิบัติการสำหรับเครื่องคอมพิวเตอร์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f>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
      <c r="F44" s="3"/>
      <c r="G44" s="85">
        <f>IFERROR(__xludf.DUMMYFUNCTION("""COMPUTED_VALUE"""),5500.0)</f>
        <v>5500</v>
      </c>
      <c r="H44" s="3" t="str">
        <f>IFERROR(__xludf.DUMMYFUNCTION("""COMPUTED_VALUE"""),"ชุด")</f>
        <v>ชุด</v>
      </c>
      <c r="I44" s="3" t="str">
        <f>IFERROR(__xludf.DUMMYFUNCTION("""COMPUTED_VALUE"""),"กระทรวงดิจิตัล*")</f>
        <v>กระทรวงดิจิตัล*</v>
      </c>
      <c r="J44" s="3" t="str">
        <f>IFERROR(__xludf.DUMMYFUNCTION("""COMPUTED_VALUE"""),"ฉบับ ธ.ค. 68")</f>
        <v>ฉบับ ธ.ค. 68</v>
      </c>
      <c r="K44" s="3"/>
      <c r="L44" s="3"/>
    </row>
    <row r="45">
      <c r="A45" s="77">
        <v>39.0</v>
      </c>
      <c r="B45" s="3" t="str">
        <f>IFERROR(__xludf.DUMMYFUNCTION("""COMPUTED_VALUE"""),"ครุภัณฑ์คอมพิวเตอร์")</f>
        <v>ครุภัณฑ์คอมพิวเตอร์</v>
      </c>
      <c r="C45" s="3" t="str">
        <f>IFERROR(__xludf.DUMMYFUNCTION("""COMPUTED_VALUE"""),"คอมพิวเตอร์และอุปกรณ์")</f>
        <v>คอมพิวเตอร์และอุปกรณ์</v>
      </c>
      <c r="D45" s="3" t="str">
        <f>IFERROR(__xludf.DUMMYFUNCTION("""COMPUTED_VALUE"""),"COM-92")</f>
        <v>COM-92</v>
      </c>
      <c r="E45" s="3" t="str">
        <f>IFERROR(__xludf.DUMMYFUNCTION("""COMPUTED_VALUE"""),"ระบบสารสนเทศบริหารจัดการเอกสารและการลงนามอิเล็กทรอนิกส์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f>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v>
      </c>
      <c r="F45" s="3"/>
      <c r="G45" s="85">
        <f>IFERROR(__xludf.DUMMYFUNCTION("""COMPUTED_VALUE"""),2000.0)</f>
        <v>2000</v>
      </c>
      <c r="H45" s="3" t="str">
        <f>IFERROR(__xludf.DUMMYFUNCTION("""COMPUTED_VALUE"""),"1 User/Year")</f>
        <v>1 User/Year</v>
      </c>
      <c r="I45" s="3" t="str">
        <f>IFERROR(__xludf.DUMMYFUNCTION("""COMPUTED_VALUE"""),"นวัตกรรมไทย*")</f>
        <v>นวัตกรรมไทย*</v>
      </c>
      <c r="J45" s="3" t="str">
        <f>IFERROR(__xludf.DUMMYFUNCTION("""COMPUTED_VALUE"""),"ฉบับ มี.ค. 66")</f>
        <v>ฉบับ มี.ค. 66</v>
      </c>
      <c r="K45" s="3" t="str">
        <f>IFERROR(__xludf.DUMMYFUNCTION("""COMPUTED_VALUE"""),"มีนาคม 2566 – มีนาคม 2570 (4 ปี)")</f>
        <v>มีนาคม 2566 – มีนาคม 2570 (4 ปี)</v>
      </c>
      <c r="L45" s="87">
        <f>IFERROR(__xludf.DUMMYFUNCTION("""COMPUTED_VALUE"""),25628.0)</f>
        <v>25628</v>
      </c>
    </row>
    <row r="46">
      <c r="A46" s="77">
        <v>40.0</v>
      </c>
      <c r="B46" s="3" t="str">
        <f>IFERROR(__xludf.DUMMYFUNCTION("""COMPUTED_VALUE"""),"ครุภัณฑ์คอมพิวเตอร์")</f>
        <v>ครุภัณฑ์คอมพิวเตอร์</v>
      </c>
      <c r="C46" s="3" t="str">
        <f>IFERROR(__xludf.DUMMYFUNCTION("""COMPUTED_VALUE"""),"คอมพิวเตอร์และอุปกรณ์")</f>
        <v>คอมพิวเตอร์และอุปกรณ์</v>
      </c>
      <c r="D46" s="3" t="str">
        <f>IFERROR(__xludf.DUMMYFUNCTION("""COMPUTED_VALUE"""),"COM-101")</f>
        <v>COM-101</v>
      </c>
      <c r="E46" s="3" t="str">
        <f>IFERROR(__xludf.DUMMYFUNCTION("""COMPUTED_VALUE"""),"เครื่องคอมพิวเตอร์โน้ตบุ๊ก สำหรับการใช้งานผ่านเว็บเบราว์เซอร์และบริการออนไลน์เป็นหลัก แบบที่ 1")</f>
        <v>เครื่องคอมพิวเตอร์โน้ตบุ๊ก สำหรับการใช้งานผ่านเว็บเบราว์เซอร์และบริการออนไลน์เป็นหลัก แบบที่ 1</v>
      </c>
      <c r="F46" s="3"/>
      <c r="G46" s="85">
        <f>IFERROR(__xludf.DUMMYFUNCTION("""COMPUTED_VALUE"""),17000.0)</f>
        <v>17000</v>
      </c>
      <c r="H46" s="3" t="str">
        <f>IFERROR(__xludf.DUMMYFUNCTION("""COMPUTED_VALUE"""),"เครื่อง")</f>
        <v>เครื่อง</v>
      </c>
      <c r="I46" s="3" t="str">
        <f>IFERROR(__xludf.DUMMYFUNCTION("""COMPUTED_VALUE"""),"กระทรวงดิจิตัล*")</f>
        <v>กระทรวงดิจิตัล*</v>
      </c>
      <c r="J46" s="3" t="str">
        <f>IFERROR(__xludf.DUMMYFUNCTION("""COMPUTED_VALUE"""),"ฉบับ ธ.ค. 68")</f>
        <v>ฉบับ ธ.ค. 68</v>
      </c>
      <c r="K46" s="3"/>
      <c r="L46" s="3"/>
    </row>
    <row r="47">
      <c r="A47" s="77">
        <v>41.0</v>
      </c>
      <c r="B47" s="3" t="str">
        <f>IFERROR(__xludf.DUMMYFUNCTION("""COMPUTED_VALUE"""),"ครุภัณฑ์คอมพิวเตอร์")</f>
        <v>ครุภัณฑ์คอมพิวเตอร์</v>
      </c>
      <c r="C47" s="3" t="str">
        <f>IFERROR(__xludf.DUMMYFUNCTION("""COMPUTED_VALUE"""),"คอมพิวเตอร์และอุปกรณ์")</f>
        <v>คอมพิวเตอร์และอุปกรณ์</v>
      </c>
      <c r="D47" s="3" t="str">
        <f>IFERROR(__xludf.DUMMYFUNCTION("""COMPUTED_VALUE"""),"COM-102")</f>
        <v>COM-102</v>
      </c>
      <c r="E47" s="3" t="str">
        <f>IFERROR(__xludf.DUMMYFUNCTION("""COMPUTED_VALUE"""),"เครื่องคอมพิวเตอร์โน้ตบุ๊ก สำหรับการใช้งานผ่านเว็บเบราว์เซอร์และบริการออนไลน์เป็นหลัก แบบที่ 2")</f>
        <v>เครื่องคอมพิวเตอร์โน้ตบุ๊ก สำหรับการใช้งานผ่านเว็บเบราว์เซอร์และบริการออนไลน์เป็นหลัก แบบที่ 2</v>
      </c>
      <c r="F47" s="3"/>
      <c r="G47" s="85">
        <f>IFERROR(__xludf.DUMMYFUNCTION("""COMPUTED_VALUE"""),21000.0)</f>
        <v>21000</v>
      </c>
      <c r="H47" s="3" t="str">
        <f>IFERROR(__xludf.DUMMYFUNCTION("""COMPUTED_VALUE"""),"เครื่อง")</f>
        <v>เครื่อง</v>
      </c>
      <c r="I47" s="3" t="str">
        <f>IFERROR(__xludf.DUMMYFUNCTION("""COMPUTED_VALUE"""),"กระทรวงดิจิตัล*")</f>
        <v>กระทรวงดิจิตัล*</v>
      </c>
      <c r="J47" s="3" t="str">
        <f>IFERROR(__xludf.DUMMYFUNCTION("""COMPUTED_VALUE"""),"ฉบับ ธ.ค. 68")</f>
        <v>ฉบับ ธ.ค. 68</v>
      </c>
      <c r="K47" s="3"/>
      <c r="L47" s="3"/>
    </row>
    <row r="48">
      <c r="A48" s="77">
        <v>42.0</v>
      </c>
      <c r="B48" s="3" t="str">
        <f>IFERROR(__xludf.DUMMYFUNCTION("""COMPUTED_VALUE"""),"ครุภัณฑ์ยานพาหนะ")</f>
        <v>ครุภัณฑ์ยานพาหนะ</v>
      </c>
      <c r="C48" s="3" t="str">
        <f>IFERROR(__xludf.DUMMYFUNCTION("""COMPUTED_VALUE"""),"ยานพาหนะบริการทางการแพทย์")</f>
        <v>ยานพาหนะบริการทางการแพทย์</v>
      </c>
      <c r="D48" s="3" t="str">
        <f>IFERROR(__xludf.DUMMYFUNCTION("""COMPUTED_VALUE"""),"VM-20")</f>
        <v>VM-20</v>
      </c>
      <c r="E48" s="3" t="str">
        <f>IFERROR(__xludf.DUMMYFUNCTION("""COMPUTED_VALUE"""),"รถคัดกรองมะเร็งเต้านมเคลื่อนที่ระบบดิจิตอลโดยใช้เครื่องเอกซเรย์เต้านมระบบดิจิตอล พร้อมระบบ AI")</f>
        <v>รถคัดกรองมะเร็งเต้านมเคลื่อนที่ระบบดิจิตอลโดยใช้เครื่องเอกซเรย์เต้านมระบบดิจิตอล พร้อมระบบ AI</v>
      </c>
      <c r="F48" s="3" t="str">
        <f>IFERROR(__xludf.DUMMYFUNCTION("""COMPUTED_VALUE"""),"Digital Mammogram Vehicle with AI")</f>
        <v>Digital Mammogram Vehicle with AI</v>
      </c>
      <c r="G48" s="85">
        <f>IFERROR(__xludf.DUMMYFUNCTION("""COMPUTED_VALUE"""),1.8E7)</f>
        <v>18000000</v>
      </c>
      <c r="H48" s="3" t="str">
        <f>IFERROR(__xludf.DUMMYFUNCTION("""COMPUTED_VALUE"""),"คัน")</f>
        <v>คัน</v>
      </c>
      <c r="I48" s="3" t="str">
        <f>IFERROR(__xludf.DUMMYFUNCTION("""COMPUTED_VALUE"""),"สป.สธ.")</f>
        <v>สป.สธ.</v>
      </c>
      <c r="J48" s="3" t="str">
        <f>IFERROR(__xludf.DUMMYFUNCTION("""COMPUTED_VALUE"""),"ฉบับ ก.ย. 66")</f>
        <v>ฉบับ ก.ย. 66</v>
      </c>
      <c r="K48" s="3"/>
      <c r="L48" s="3"/>
    </row>
    <row r="49">
      <c r="A49" s="77">
        <v>43.0</v>
      </c>
      <c r="B49" s="3" t="str">
        <f>IFERROR(__xludf.DUMMYFUNCTION("""COMPUTED_VALUE"""),"ครุภัณฑ์ยานพาหนะ")</f>
        <v>ครุภัณฑ์ยานพาหนะ</v>
      </c>
      <c r="C49" s="3" t="str">
        <f>IFERROR(__xludf.DUMMYFUNCTION("""COMPUTED_VALUE"""),"ยานพาหนะบริการทางการแพทย์")</f>
        <v>ยานพาหนะบริการทางการแพทย์</v>
      </c>
      <c r="D49" s="3" t="str">
        <f>IFERROR(__xludf.DUMMYFUNCTION("""COMPUTED_VALUE"""),"VM-21")</f>
        <v>VM-21</v>
      </c>
      <c r="E49" s="3" t="str">
        <f>IFERROR(__xludf.DUMMYFUNCTION("""COMPUTED_VALUE"""),"รถคัดกรองมะเร็งเต้านมเคลื่อนที่ระบบดิจิตอลโดยใช้เครื่องตรวจเต้านมด้วยคลื่นเสียงความถี่สูงแบบอัตโนมัติชนิด 3 มิติ (ABUS)")</f>
        <v>รถคัดกรองมะเร็งเต้านมเคลื่อนที่ระบบดิจิตอลโดยใช้เครื่องตรวจเต้านมด้วยคลื่นเสียงความถี่สูงแบบอัตโนมัติชนิด 3 มิติ (ABUS)</v>
      </c>
      <c r="F49" s="3" t="str">
        <f>IFERROR(__xludf.DUMMYFUNCTION("""COMPUTED_VALUE"""),"Digital Automatic Breast Ultrasound System (ABUS) Vehicle")</f>
        <v>Digital Automatic Breast Ultrasound System (ABUS) Vehicle</v>
      </c>
      <c r="G49" s="85">
        <f>IFERROR(__xludf.DUMMYFUNCTION("""COMPUTED_VALUE"""),1.3E7)</f>
        <v>13000000</v>
      </c>
      <c r="H49" s="3" t="str">
        <f>IFERROR(__xludf.DUMMYFUNCTION("""COMPUTED_VALUE"""),"คัน")</f>
        <v>คัน</v>
      </c>
      <c r="I49" s="3" t="str">
        <f>IFERROR(__xludf.DUMMYFUNCTION("""COMPUTED_VALUE"""),"สป.สธ.")</f>
        <v>สป.สธ.</v>
      </c>
      <c r="J49" s="3" t="str">
        <f>IFERROR(__xludf.DUMMYFUNCTION("""COMPUTED_VALUE"""),"ฉบับ ก.ย. 66")</f>
        <v>ฉบับ ก.ย. 66</v>
      </c>
      <c r="K49" s="3"/>
      <c r="L49" s="3"/>
    </row>
    <row r="50">
      <c r="A50" s="77">
        <v>44.0</v>
      </c>
      <c r="B50" s="3" t="str">
        <f>IFERROR(__xludf.DUMMYFUNCTION("""COMPUTED_VALUE"""),"ครุภัณฑ์ยานพาหนะ")</f>
        <v>ครุภัณฑ์ยานพาหนะ</v>
      </c>
      <c r="C50" s="3" t="str">
        <f>IFERROR(__xludf.DUMMYFUNCTION("""COMPUTED_VALUE"""),"ยานพาหนะบริการทางการแพทย์")</f>
        <v>ยานพาหนะบริการทางการแพทย์</v>
      </c>
      <c r="D50" s="3" t="str">
        <f>IFERROR(__xludf.DUMMYFUNCTION("""COMPUTED_VALUE"""),"VM-22")</f>
        <v>VM-22</v>
      </c>
      <c r="E50" s="3" t="str">
        <f>IFERROR(__xludf.DUMMYFUNCTION("""COMPUTED_VALUE"""),"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f>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v>
      </c>
      <c r="F50" s="3" t="str">
        <f>IFERROR(__xludf.DUMMYFUNCTION("""COMPUTED_VALUE"""),"Digital Automatic Breast Ultrasound System (ABUS) Vehicle with AI")</f>
        <v>Digital Automatic Breast Ultrasound System (ABUS) Vehicle with AI</v>
      </c>
      <c r="G50" s="85">
        <f>IFERROR(__xludf.DUMMYFUNCTION("""COMPUTED_VALUE"""),1.5E7)</f>
        <v>15000000</v>
      </c>
      <c r="H50" s="3" t="str">
        <f>IFERROR(__xludf.DUMMYFUNCTION("""COMPUTED_VALUE"""),"คัน")</f>
        <v>คัน</v>
      </c>
      <c r="I50" s="3" t="str">
        <f>IFERROR(__xludf.DUMMYFUNCTION("""COMPUTED_VALUE"""),"สป.สธ.")</f>
        <v>สป.สธ.</v>
      </c>
      <c r="J50" s="3" t="str">
        <f>IFERROR(__xludf.DUMMYFUNCTION("""COMPUTED_VALUE"""),"ฉบับ ก.ย. 66")</f>
        <v>ฉบับ ก.ย. 66</v>
      </c>
      <c r="K50" s="3"/>
      <c r="L50" s="3"/>
    </row>
    <row r="51">
      <c r="A51" s="77">
        <v>45.0</v>
      </c>
      <c r="B51" s="3" t="str">
        <f>IFERROR(__xludf.DUMMYFUNCTION("""COMPUTED_VALUE"""),"ครุภัณฑ์ยานพาหนะ")</f>
        <v>ครุภัณฑ์ยานพาหนะ</v>
      </c>
      <c r="C51" s="3" t="str">
        <f>IFERROR(__xludf.DUMMYFUNCTION("""COMPUTED_VALUE"""),"ยานพาหนะบริการทางการแพทย์")</f>
        <v>ยานพาหนะบริการทางการแพทย์</v>
      </c>
      <c r="D51" s="3" t="str">
        <f>IFERROR(__xludf.DUMMYFUNCTION("""COMPUTED_VALUE"""),"VM-23")</f>
        <v>VM-23</v>
      </c>
      <c r="E51" s="3" t="str">
        <f>IFERROR(__xludf.DUMMYFUNCTION("""COMPUTED_VALUE"""),"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f>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v>
      </c>
      <c r="F51" s="3" t="str">
        <f>IFERROR(__xludf.DUMMYFUNCTION("""COMPUTED_VALUE"""),"Digital Mammogram with Automatic Breast Ultrasound System (ABUS) Vehicle")</f>
        <v>Digital Mammogram with Automatic Breast Ultrasound System (ABUS) Vehicle</v>
      </c>
      <c r="G51" s="85">
        <f>IFERROR(__xludf.DUMMYFUNCTION("""COMPUTED_VALUE"""),2.3E7)</f>
        <v>23000000</v>
      </c>
      <c r="H51" s="3" t="str">
        <f>IFERROR(__xludf.DUMMYFUNCTION("""COMPUTED_VALUE"""),"คัน")</f>
        <v>คัน</v>
      </c>
      <c r="I51" s="3" t="str">
        <f>IFERROR(__xludf.DUMMYFUNCTION("""COMPUTED_VALUE"""),"สป.สธ.")</f>
        <v>สป.สธ.</v>
      </c>
      <c r="J51" s="3" t="str">
        <f>IFERROR(__xludf.DUMMYFUNCTION("""COMPUTED_VALUE"""),"ฉบับ ก.ย. 66")</f>
        <v>ฉบับ ก.ย. 66</v>
      </c>
      <c r="K51" s="3"/>
      <c r="L51" s="3"/>
    </row>
    <row r="52">
      <c r="A52" s="77">
        <v>46.0</v>
      </c>
      <c r="B52" s="3" t="str">
        <f>IFERROR(__xludf.DUMMYFUNCTION("""COMPUTED_VALUE"""),"ครุภัณฑ์ยานพาหนะ")</f>
        <v>ครุภัณฑ์ยานพาหนะ</v>
      </c>
      <c r="C52" s="3" t="str">
        <f>IFERROR(__xludf.DUMMYFUNCTION("""COMPUTED_VALUE"""),"ยานพาหนะบริการทางการแพทย์")</f>
        <v>ยานพาหนะบริการทางการแพทย์</v>
      </c>
      <c r="D52" s="3" t="str">
        <f>IFERROR(__xludf.DUMMYFUNCTION("""COMPUTED_VALUE"""),"VM-24")</f>
        <v>VM-24</v>
      </c>
      <c r="E52" s="3" t="str">
        <f>IFERROR(__xludf.DUMMYFUNCTION("""COMPUTED_VALUE"""),"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f>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v>
      </c>
      <c r="F52" s="3" t="str">
        <f>IFERROR(__xludf.DUMMYFUNCTION("""COMPUTED_VALUE"""),"Digital Mammogram with Automatic Breast Ultrasound System (ABUS) Vehicle with AI")</f>
        <v>Digital Mammogram with Automatic Breast Ultrasound System (ABUS) Vehicle with AI</v>
      </c>
      <c r="G52" s="85">
        <f>IFERROR(__xludf.DUMMYFUNCTION("""COMPUTED_VALUE"""),2.8E7)</f>
        <v>28000000</v>
      </c>
      <c r="H52" s="3" t="str">
        <f>IFERROR(__xludf.DUMMYFUNCTION("""COMPUTED_VALUE"""),"คัน")</f>
        <v>คัน</v>
      </c>
      <c r="I52" s="3" t="str">
        <f>IFERROR(__xludf.DUMMYFUNCTION("""COMPUTED_VALUE"""),"สป.สธ.")</f>
        <v>สป.สธ.</v>
      </c>
      <c r="J52" s="3" t="str">
        <f>IFERROR(__xludf.DUMMYFUNCTION("""COMPUTED_VALUE"""),"ฉบับ ก.ย. 66")</f>
        <v>ฉบับ ก.ย. 66</v>
      </c>
      <c r="K52" s="3"/>
      <c r="L52" s="3"/>
    </row>
    <row r="53">
      <c r="A53" s="77">
        <v>47.0</v>
      </c>
      <c r="B53" s="3" t="str">
        <f>IFERROR(__xludf.DUMMYFUNCTION("""COMPUTED_VALUE"""),"ครุภัณฑ์วิทยาศาสตร์")</f>
        <v>ครุภัณฑ์วิทยาศาสตร์</v>
      </c>
      <c r="C53" s="3" t="str">
        <f>IFERROR(__xludf.DUMMYFUNCTION("""COMPUTED_VALUE"""),"วิทยาศาสตร์")</f>
        <v>วิทยาศาสตร์</v>
      </c>
      <c r="D53" s="3" t="str">
        <f>IFERROR(__xludf.DUMMYFUNCTION("""COMPUTED_VALUE"""),"SC-9")</f>
        <v>SC-9</v>
      </c>
      <c r="E53" s="3" t="str">
        <f>IFERROR(__xludf.DUMMYFUNCTION("""COMPUTED_VALUE"""),"รถเข็นนั่งใช้ไฟฟ้า (Electric –Powered Wheelchair) รุ่น KM ขนาดความกว้างที่นั่ง 350 (L) X 370 (W) มิลลิเมตร")</f>
        <v>รถเข็นนั่งใช้ไฟฟ้า (Electric –Powered Wheelchair) รุ่น KM ขนาดความกว้างที่นั่ง 350 (L) X 370 (W) มิลลิเมตร</v>
      </c>
      <c r="F53" s="3" t="str">
        <f>IFERROR(__xludf.DUMMYFUNCTION("""COMPUTED_VALUE"""),"Electric –Powered Wheelchair")</f>
        <v>Electric –Powered Wheelchair</v>
      </c>
      <c r="G53" s="85">
        <f>IFERROR(__xludf.DUMMYFUNCTION("""COMPUTED_VALUE"""),36000.0)</f>
        <v>36000</v>
      </c>
      <c r="H53" s="3" t="str">
        <f>IFERROR(__xludf.DUMMYFUNCTION("""COMPUTED_VALUE"""),"คัน")</f>
        <v>คัน</v>
      </c>
      <c r="I53" s="3" t="str">
        <f>IFERROR(__xludf.DUMMYFUNCTION("""COMPUTED_VALUE"""),"นวัตกรรมไทย*")</f>
        <v>นวัตกรรมไทย*</v>
      </c>
      <c r="J53" s="3" t="str">
        <f>IFERROR(__xludf.DUMMYFUNCTION("""COMPUTED_VALUE"""),"ฉบับ มิ.ย. 61")</f>
        <v>ฉบับ มิ.ย. 61</v>
      </c>
      <c r="K53" s="3" t="str">
        <f>IFERROR(__xludf.DUMMYFUNCTION("""COMPUTED_VALUE"""),"มิถุนายน 2561 – มิถุนายน 2569 (8 ปี)")</f>
        <v>มิถุนายน 2561 – มิถุนายน 2569 (8 ปี)</v>
      </c>
      <c r="L53" s="87">
        <f>IFERROR(__xludf.DUMMYFUNCTION("""COMPUTED_VALUE"""),25355.0)</f>
        <v>25355</v>
      </c>
    </row>
    <row r="54">
      <c r="A54" s="77">
        <v>48.0</v>
      </c>
      <c r="B54" s="3" t="str">
        <f>IFERROR(__xludf.DUMMYFUNCTION("""COMPUTED_VALUE"""),"ครุภัณฑ์วิทยาศาสตร์")</f>
        <v>ครุภัณฑ์วิทยาศาสตร์</v>
      </c>
      <c r="C54" s="3" t="str">
        <f>IFERROR(__xludf.DUMMYFUNCTION("""COMPUTED_VALUE"""),"วิทยาศาสตร์")</f>
        <v>วิทยาศาสตร์</v>
      </c>
      <c r="D54" s="3" t="str">
        <f>IFERROR(__xludf.DUMMYFUNCTION("""COMPUTED_VALUE"""),"SC-22")</f>
        <v>SC-22</v>
      </c>
      <c r="E54" s="3" t="str">
        <f>IFERROR(__xludf.DUMMYFUNCTION("""COMPUTED_VALUE"""),"เครื่องพ่นหมอกควันสะพายไหล่ ที่ใช้ในงานสาธารณสุข")</f>
        <v>เครื่องพ่นหมอกควันสะพายไหล่ ที่ใช้ในงานสาธารณสุข</v>
      </c>
      <c r="F54" s="3"/>
      <c r="G54" s="85">
        <f>IFERROR(__xludf.DUMMYFUNCTION("""COMPUTED_VALUE"""),86600.0)</f>
        <v>86600</v>
      </c>
      <c r="H54" s="3" t="str">
        <f>IFERROR(__xludf.DUMMYFUNCTION("""COMPUTED_VALUE"""),"เครื่อง")</f>
        <v>เครื่อง</v>
      </c>
      <c r="I54" s="3" t="str">
        <f>IFERROR(__xludf.DUMMYFUNCTION("""COMPUTED_VALUE"""),"สำนักงบประมาณ*")</f>
        <v>สำนักงบประมาณ*</v>
      </c>
      <c r="J54" s="3" t="str">
        <f>IFERROR(__xludf.DUMMYFUNCTION("""COMPUTED_VALUE"""),"ฉบับ ธ.ค. 68")</f>
        <v>ฉบับ ธ.ค. 68</v>
      </c>
      <c r="K54" s="3"/>
      <c r="L54" s="3"/>
    </row>
    <row r="55">
      <c r="A55" s="77">
        <v>49.0</v>
      </c>
      <c r="B55" s="3" t="str">
        <f>IFERROR(__xludf.DUMMYFUNCTION("""COMPUTED_VALUE"""),"ครุภัณฑ์วิทยาศาสตร์")</f>
        <v>ครุภัณฑ์วิทยาศาสตร์</v>
      </c>
      <c r="C55" s="3" t="str">
        <f>IFERROR(__xludf.DUMMYFUNCTION("""COMPUTED_VALUE"""),"วิทยาศาสตร์")</f>
        <v>วิทยาศาสตร์</v>
      </c>
      <c r="D55" s="3" t="str">
        <f>IFERROR(__xludf.DUMMYFUNCTION("""COMPUTED_VALUE"""),"SC-23")</f>
        <v>SC-23</v>
      </c>
      <c r="E55" s="3" t="str">
        <f>IFERROR(__xludf.DUMMYFUNCTION("""COMPUTED_VALUE"""),"เครื่องพ่นละอองฝอยสะพายหลัง ULV Rotary ที่ใช้ในงานสาธารณสุข")</f>
        <v>เครื่องพ่นละอองฝอยสะพายหลัง ULV Rotary ที่ใช้ในงานสาธารณสุข</v>
      </c>
      <c r="F55" s="3"/>
      <c r="G55" s="85">
        <f>IFERROR(__xludf.DUMMYFUNCTION("""COMPUTED_VALUE"""),91000.0)</f>
        <v>91000</v>
      </c>
      <c r="H55" s="3" t="str">
        <f>IFERROR(__xludf.DUMMYFUNCTION("""COMPUTED_VALUE"""),"เครื่อง")</f>
        <v>เครื่อง</v>
      </c>
      <c r="I55" s="3" t="str">
        <f>IFERROR(__xludf.DUMMYFUNCTION("""COMPUTED_VALUE"""),"สำนักงบประมาณ*")</f>
        <v>สำนักงบประมาณ*</v>
      </c>
      <c r="J55" s="3" t="str">
        <f>IFERROR(__xludf.DUMMYFUNCTION("""COMPUTED_VALUE"""),"ฉบับ ธ.ค. 68")</f>
        <v>ฉบับ ธ.ค. 68</v>
      </c>
      <c r="K55" s="3"/>
      <c r="L55" s="3"/>
    </row>
    <row r="56">
      <c r="A56" s="77">
        <v>50.0</v>
      </c>
      <c r="B56" s="3" t="str">
        <f>IFERROR(__xludf.DUMMYFUNCTION("""COMPUTED_VALUE"""),"ครุภัณฑ์วิทยาศาสตร์")</f>
        <v>ครุภัณฑ์วิทยาศาสตร์</v>
      </c>
      <c r="C56" s="3" t="str">
        <f>IFERROR(__xludf.DUMMYFUNCTION("""COMPUTED_VALUE"""),"วิทยาศาสตร์")</f>
        <v>วิทยาศาสตร์</v>
      </c>
      <c r="D56" s="3" t="str">
        <f>IFERROR(__xludf.DUMMYFUNCTION("""COMPUTED_VALUE"""),"SC-24")</f>
        <v>SC-24</v>
      </c>
      <c r="E56" s="3" t="str">
        <f>IFERROR(__xludf.DUMMYFUNCTION("""COMPUTED_VALUE"""),"เครื่องพ่นฝอยละเอียด (ULV) ติดตั้งบนรถยนต์ ขนาดไม่ต่ำกว่า 13 แรงม้า แต่ไม่ถึง 18 แรงม้า ที่ใช้ในงานสาธารณสุข")</f>
        <v>เครื่องพ่นฝอยละเอียด (ULV) ติดตั้งบนรถยนต์ ขนาดไม่ต่ำกว่า 13 แรงม้า แต่ไม่ถึง 18 แรงม้า ที่ใช้ในงานสาธารณสุข</v>
      </c>
      <c r="F56" s="3"/>
      <c r="G56" s="85">
        <f>IFERROR(__xludf.DUMMYFUNCTION("""COMPUTED_VALUE"""),542000.0)</f>
        <v>542000</v>
      </c>
      <c r="H56" s="3" t="str">
        <f>IFERROR(__xludf.DUMMYFUNCTION("""COMPUTED_VALUE"""),"เครื่อง")</f>
        <v>เครื่อง</v>
      </c>
      <c r="I56" s="3" t="str">
        <f>IFERROR(__xludf.DUMMYFUNCTION("""COMPUTED_VALUE"""),"สำนักงบประมาณ*")</f>
        <v>สำนักงบประมาณ*</v>
      </c>
      <c r="J56" s="3" t="str">
        <f>IFERROR(__xludf.DUMMYFUNCTION("""COMPUTED_VALUE"""),"ฉบับ ธ.ค. 68")</f>
        <v>ฉบับ ธ.ค. 68</v>
      </c>
      <c r="K56" s="3"/>
      <c r="L56" s="3"/>
    </row>
    <row r="57">
      <c r="A57" s="77">
        <v>51.0</v>
      </c>
      <c r="B57" s="3" t="str">
        <f>IFERROR(__xludf.DUMMYFUNCTION("""COMPUTED_VALUE"""),"ครุภัณฑ์วิทยาศาสตร์")</f>
        <v>ครุภัณฑ์วิทยาศาสตร์</v>
      </c>
      <c r="C57" s="3" t="str">
        <f>IFERROR(__xludf.DUMMYFUNCTION("""COMPUTED_VALUE"""),"วิทยาศาสตร์")</f>
        <v>วิทยาศาสตร์</v>
      </c>
      <c r="D57" s="3" t="str">
        <f>IFERROR(__xludf.DUMMYFUNCTION("""COMPUTED_VALUE"""),"SC-25")</f>
        <v>SC-25</v>
      </c>
      <c r="E57" s="3" t="str">
        <f>IFERROR(__xludf.DUMMYFUNCTION("""COMPUTED_VALUE"""),"เครื่องพ่นฝอยละเอียด (ULV) ติดตั้งบนรถยนต์ ขนาดตั้งแต่ 18 แรงม้าขึ้นไป ที่ใช้ในงานสาธารณสุข")</f>
        <v>เครื่องพ่นฝอยละเอียด (ULV) ติดตั้งบนรถยนต์ ขนาดตั้งแต่ 18 แรงม้าขึ้นไป ที่ใช้ในงานสาธารณสุข</v>
      </c>
      <c r="F57" s="3"/>
      <c r="G57" s="85">
        <f>IFERROR(__xludf.DUMMYFUNCTION("""COMPUTED_VALUE"""),937000.0)</f>
        <v>937000</v>
      </c>
      <c r="H57" s="3" t="str">
        <f>IFERROR(__xludf.DUMMYFUNCTION("""COMPUTED_VALUE"""),"เครื่อง")</f>
        <v>เครื่อง</v>
      </c>
      <c r="I57" s="3" t="str">
        <f>IFERROR(__xludf.DUMMYFUNCTION("""COMPUTED_VALUE"""),"สำนักงบประมาณ*")</f>
        <v>สำนักงบประมาณ*</v>
      </c>
      <c r="J57" s="3" t="str">
        <f>IFERROR(__xludf.DUMMYFUNCTION("""COMPUTED_VALUE"""),"ฉบับ ธ.ค. 68")</f>
        <v>ฉบับ ธ.ค. 68</v>
      </c>
      <c r="K57" s="3"/>
      <c r="L57" s="3"/>
    </row>
    <row r="58">
      <c r="A58" s="77">
        <v>52.0</v>
      </c>
      <c r="B58" s="3" t="str">
        <f>IFERROR(__xludf.DUMMYFUNCTION("""COMPUTED_VALUE"""),"ครุภัณฑ์สำนักงาน")</f>
        <v>ครุภัณฑ์สำนักงาน</v>
      </c>
      <c r="C58" s="3" t="str">
        <f>IFERROR(__xludf.DUMMYFUNCTION("""COMPUTED_VALUE"""),"เครื่องปรับอากาศและฟอกอากาศ")</f>
        <v>เครื่องปรับอากาศและฟอกอากาศ</v>
      </c>
      <c r="D58" s="3" t="str">
        <f>IFERROR(__xludf.DUMMYFUNCTION("""COMPUTED_VALUE"""),"AIR-25")</f>
        <v>AIR-25</v>
      </c>
      <c r="E58"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13,000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13,000 บีทียู</v>
      </c>
      <c r="F58"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58" s="85">
        <f>IFERROR(__xludf.DUMMYFUNCTION("""COMPUTED_VALUE"""),34400.0)</f>
        <v>34400</v>
      </c>
      <c r="H58" s="3" t="str">
        <f>IFERROR(__xludf.DUMMYFUNCTION("""COMPUTED_VALUE"""),"ชุด")</f>
        <v>ชุด</v>
      </c>
      <c r="I58" s="3" t="str">
        <f>IFERROR(__xludf.DUMMYFUNCTION("""COMPUTED_VALUE"""),"นวัตกรรมไทย*")</f>
        <v>นวัตกรรมไทย*</v>
      </c>
      <c r="J58" s="3" t="str">
        <f>IFERROR(__xludf.DUMMYFUNCTION("""COMPUTED_VALUE"""),"ฉบับ มี.ค. 65")</f>
        <v>ฉบับ มี.ค. 65</v>
      </c>
      <c r="K58" s="3" t="str">
        <f>IFERROR(__xludf.DUMMYFUNCTION("""COMPUTED_VALUE"""),"พฤษภาคม 2563 - พฤษภาคม 2571 (8 ปี)")</f>
        <v>พฤษภาคม 2563 - พฤษภาคม 2571 (8 ปี)</v>
      </c>
      <c r="L58" s="87">
        <f>IFERROR(__xludf.DUMMYFUNCTION("""COMPUTED_VALUE"""),26054.0)</f>
        <v>26054</v>
      </c>
    </row>
    <row r="59">
      <c r="A59" s="77">
        <v>53.0</v>
      </c>
      <c r="B59" s="3" t="str">
        <f>IFERROR(__xludf.DUMMYFUNCTION("""COMPUTED_VALUE"""),"ครุภัณฑ์สำนักงาน")</f>
        <v>ครุภัณฑ์สำนักงาน</v>
      </c>
      <c r="C59" s="3" t="str">
        <f>IFERROR(__xludf.DUMMYFUNCTION("""COMPUTED_VALUE"""),"เครื่องปรับอากาศและฟอกอากาศ")</f>
        <v>เครื่องปรับอากาศและฟอกอากาศ</v>
      </c>
      <c r="D59" s="3" t="str">
        <f>IFERROR(__xludf.DUMMYFUNCTION("""COMPUTED_VALUE"""),"AIR-36")</f>
        <v>AIR-36</v>
      </c>
      <c r="E59"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19,000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19,000 บีทียู</v>
      </c>
      <c r="F59"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59" s="85">
        <f>IFERROR(__xludf.DUMMYFUNCTION("""COMPUTED_VALUE"""),39500.0)</f>
        <v>39500</v>
      </c>
      <c r="H59" s="3" t="str">
        <f>IFERROR(__xludf.DUMMYFUNCTION("""COMPUTED_VALUE"""),"ชุด")</f>
        <v>ชุด</v>
      </c>
      <c r="I59" s="3" t="str">
        <f>IFERROR(__xludf.DUMMYFUNCTION("""COMPUTED_VALUE"""),"นวัตกรรมไทย*")</f>
        <v>นวัตกรรมไทย*</v>
      </c>
      <c r="J59" s="3" t="str">
        <f>IFERROR(__xludf.DUMMYFUNCTION("""COMPUTED_VALUE"""),"ฉบับ มี.ค. 65")</f>
        <v>ฉบับ มี.ค. 65</v>
      </c>
      <c r="K59" s="3" t="str">
        <f>IFERROR(__xludf.DUMMYFUNCTION("""COMPUTED_VALUE"""),"พฤษภาคม 2563 - พฤษภาคม 2571 (8 ปี)")</f>
        <v>พฤษภาคม 2563 - พฤษภาคม 2571 (8 ปี)</v>
      </c>
      <c r="L59" s="87">
        <f>IFERROR(__xludf.DUMMYFUNCTION("""COMPUTED_VALUE"""),26054.0)</f>
        <v>26054</v>
      </c>
    </row>
    <row r="60">
      <c r="A60" s="77">
        <v>54.0</v>
      </c>
      <c r="B60" s="3" t="str">
        <f>IFERROR(__xludf.DUMMYFUNCTION("""COMPUTED_VALUE"""),"ครุภัณฑ์สำนักงาน")</f>
        <v>ครุภัณฑ์สำนักงาน</v>
      </c>
      <c r="C60" s="3" t="str">
        <f>IFERROR(__xludf.DUMMYFUNCTION("""COMPUTED_VALUE"""),"เครื่องปรับอากาศและฟอกอากาศ")</f>
        <v>เครื่องปรับอากาศและฟอกอากาศ</v>
      </c>
      <c r="D60" s="3" t="str">
        <f>IFERROR(__xludf.DUMMYFUNCTION("""COMPUTED_VALUE"""),"AIR-52")</f>
        <v>AIR-52</v>
      </c>
      <c r="E60"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25,000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25,000 บีทียู</v>
      </c>
      <c r="F60"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0" s="85">
        <f>IFERROR(__xludf.DUMMYFUNCTION("""COMPUTED_VALUE"""),52200.0)</f>
        <v>52200</v>
      </c>
      <c r="H60" s="3" t="str">
        <f>IFERROR(__xludf.DUMMYFUNCTION("""COMPUTED_VALUE"""),"ชุด")</f>
        <v>ชุด</v>
      </c>
      <c r="I60" s="3" t="str">
        <f>IFERROR(__xludf.DUMMYFUNCTION("""COMPUTED_VALUE"""),"นวัตกรรมไทย*")</f>
        <v>นวัตกรรมไทย*</v>
      </c>
      <c r="J60" s="3" t="str">
        <f>IFERROR(__xludf.DUMMYFUNCTION("""COMPUTED_VALUE"""),"ฉบับ มี.ค. 65")</f>
        <v>ฉบับ มี.ค. 65</v>
      </c>
      <c r="K60" s="3" t="str">
        <f>IFERROR(__xludf.DUMMYFUNCTION("""COMPUTED_VALUE"""),"พฤษภาคม 2563 - พฤษภาคม 2571 (8 ปี)")</f>
        <v>พฤษภาคม 2563 - พฤษภาคม 2571 (8 ปี)</v>
      </c>
      <c r="L60" s="87">
        <f>IFERROR(__xludf.DUMMYFUNCTION("""COMPUTED_VALUE"""),26054.0)</f>
        <v>26054</v>
      </c>
    </row>
    <row r="61">
      <c r="A61" s="77">
        <v>55.0</v>
      </c>
      <c r="B61" s="3" t="str">
        <f>IFERROR(__xludf.DUMMYFUNCTION("""COMPUTED_VALUE"""),"ครุภัณฑ์สำนักงาน")</f>
        <v>ครุภัณฑ์สำนักงาน</v>
      </c>
      <c r="C61" s="3" t="str">
        <f>IFERROR(__xludf.DUMMYFUNCTION("""COMPUTED_VALUE"""),"เครื่องปรับอากาศและฟอกอากาศ")</f>
        <v>เครื่องปรับอากาศและฟอกอากาศ</v>
      </c>
      <c r="D61" s="3" t="str">
        <f>IFERROR(__xludf.DUMMYFUNCTION("""COMPUTED_VALUE"""),"AIR-56")</f>
        <v>AIR-56</v>
      </c>
      <c r="E61"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30,000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30,000 บีทียู</v>
      </c>
      <c r="F61"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1" s="85">
        <f>IFERROR(__xludf.DUMMYFUNCTION("""COMPUTED_VALUE"""),55400.0)</f>
        <v>55400</v>
      </c>
      <c r="H61" s="3" t="str">
        <f>IFERROR(__xludf.DUMMYFUNCTION("""COMPUTED_VALUE"""),"ชุด")</f>
        <v>ชุด</v>
      </c>
      <c r="I61" s="3" t="str">
        <f>IFERROR(__xludf.DUMMYFUNCTION("""COMPUTED_VALUE"""),"นวัตกรรมไทย*")</f>
        <v>นวัตกรรมไทย*</v>
      </c>
      <c r="J61" s="3" t="str">
        <f>IFERROR(__xludf.DUMMYFUNCTION("""COMPUTED_VALUE"""),"ฉบับ มี.ค. 65")</f>
        <v>ฉบับ มี.ค. 65</v>
      </c>
      <c r="K61" s="3" t="str">
        <f>IFERROR(__xludf.DUMMYFUNCTION("""COMPUTED_VALUE"""),"พฤษภาคม 2563 - พฤษภาคม 2571 (8 ปี)")</f>
        <v>พฤษภาคม 2563 - พฤษภาคม 2571 (8 ปี)</v>
      </c>
      <c r="L61" s="87">
        <f>IFERROR(__xludf.DUMMYFUNCTION("""COMPUTED_VALUE"""),26054.0)</f>
        <v>26054</v>
      </c>
    </row>
    <row r="62">
      <c r="A62" s="77">
        <v>56.0</v>
      </c>
      <c r="B62" s="3" t="str">
        <f>IFERROR(__xludf.DUMMYFUNCTION("""COMPUTED_VALUE"""),"ครุภัณฑ์สำนักงาน")</f>
        <v>ครุภัณฑ์สำนักงาน</v>
      </c>
      <c r="C62" s="3" t="str">
        <f>IFERROR(__xludf.DUMMYFUNCTION("""COMPUTED_VALUE"""),"เครื่องปรับอากาศและฟอกอากาศ")</f>
        <v>เครื่องปรับอากาศและฟอกอากาศ</v>
      </c>
      <c r="D62" s="3" t="str">
        <f>IFERROR(__xludf.DUMMYFUNCTION("""COMPUTED_VALUE"""),"AIR-63")</f>
        <v>AIR-63</v>
      </c>
      <c r="E62"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36,000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36,000 บีทียู</v>
      </c>
      <c r="F62"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2" s="85">
        <f>IFERROR(__xludf.DUMMYFUNCTION("""COMPUTED_VALUE"""),65000.0)</f>
        <v>65000</v>
      </c>
      <c r="H62" s="3" t="str">
        <f>IFERROR(__xludf.DUMMYFUNCTION("""COMPUTED_VALUE"""),"ชุด")</f>
        <v>ชุด</v>
      </c>
      <c r="I62" s="3" t="str">
        <f>IFERROR(__xludf.DUMMYFUNCTION("""COMPUTED_VALUE"""),"นวัตกรรมไทย*")</f>
        <v>นวัตกรรมไทย*</v>
      </c>
      <c r="J62" s="3" t="str">
        <f>IFERROR(__xludf.DUMMYFUNCTION("""COMPUTED_VALUE"""),"ฉบับ มี.ค. 65")</f>
        <v>ฉบับ มี.ค. 65</v>
      </c>
      <c r="K62" s="3" t="str">
        <f>IFERROR(__xludf.DUMMYFUNCTION("""COMPUTED_VALUE"""),"พฤษภาคม 2563 - พฤษภาคม 2571 (8 ปี)")</f>
        <v>พฤษภาคม 2563 - พฤษภาคม 2571 (8 ปี)</v>
      </c>
      <c r="L62" s="87">
        <f>IFERROR(__xludf.DUMMYFUNCTION("""COMPUTED_VALUE"""),26054.0)</f>
        <v>26054</v>
      </c>
    </row>
    <row r="63">
      <c r="A63" s="77">
        <v>57.0</v>
      </c>
      <c r="B63" s="3" t="str">
        <f>IFERROR(__xludf.DUMMYFUNCTION("""COMPUTED_VALUE"""),"ครุภัณฑ์สำนักงาน")</f>
        <v>ครุภัณฑ์สำนักงาน</v>
      </c>
      <c r="C63" s="3" t="str">
        <f>IFERROR(__xludf.DUMMYFUNCTION("""COMPUTED_VALUE"""),"เครื่องปรับอากาศและฟอกอากาศ")</f>
        <v>เครื่องปรับอากาศและฟอกอากาศ</v>
      </c>
      <c r="D63" s="3" t="str">
        <f>IFERROR(__xludf.DUMMYFUNCTION("""COMPUTED_VALUE"""),"AIR-64")</f>
        <v>AIR-64</v>
      </c>
      <c r="E63"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380 V / 3 Ø / 50 Hz ขนาด 36,000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36,000 บีทียู</v>
      </c>
      <c r="F63"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3" s="85">
        <f>IFERROR(__xludf.DUMMYFUNCTION("""COMPUTED_VALUE"""),68300.0)</f>
        <v>68300</v>
      </c>
      <c r="H63" s="3" t="str">
        <f>IFERROR(__xludf.DUMMYFUNCTION("""COMPUTED_VALUE"""),"ชุด")</f>
        <v>ชุด</v>
      </c>
      <c r="I63" s="3" t="str">
        <f>IFERROR(__xludf.DUMMYFUNCTION("""COMPUTED_VALUE"""),"นวัตกรรมไทย*")</f>
        <v>นวัตกรรมไทย*</v>
      </c>
      <c r="J63" s="3" t="str">
        <f>IFERROR(__xludf.DUMMYFUNCTION("""COMPUTED_VALUE"""),"ฉบับ มี.ค. 65")</f>
        <v>ฉบับ มี.ค. 65</v>
      </c>
      <c r="K63" s="3" t="str">
        <f>IFERROR(__xludf.DUMMYFUNCTION("""COMPUTED_VALUE"""),"พฤษภาคม 2563 - พฤษภาคม 2571 (8 ปี)")</f>
        <v>พฤษภาคม 2563 - พฤษภาคม 2571 (8 ปี)</v>
      </c>
      <c r="L63" s="87">
        <f>IFERROR(__xludf.DUMMYFUNCTION("""COMPUTED_VALUE"""),26054.0)</f>
        <v>26054</v>
      </c>
    </row>
    <row r="64">
      <c r="A64" s="77">
        <v>58.0</v>
      </c>
      <c r="B64" s="3" t="str">
        <f>IFERROR(__xludf.DUMMYFUNCTION("""COMPUTED_VALUE"""),"ครุภัณฑ์สำนักงาน")</f>
        <v>ครุภัณฑ์สำนักงาน</v>
      </c>
      <c r="C64" s="3" t="str">
        <f>IFERROR(__xludf.DUMMYFUNCTION("""COMPUTED_VALUE"""),"เครื่องปรับอากาศและฟอกอากาศ")</f>
        <v>เครื่องปรับอากาศและฟอกอากาศ</v>
      </c>
      <c r="D64" s="3" t="str">
        <f>IFERROR(__xludf.DUMMYFUNCTION("""COMPUTED_VALUE"""),"AIR-65")</f>
        <v>AIR-65</v>
      </c>
      <c r="E64"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38,000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38,000 บีทียู</v>
      </c>
      <c r="F64"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4" s="85">
        <f>IFERROR(__xludf.DUMMYFUNCTION("""COMPUTED_VALUE"""),66200.0)</f>
        <v>66200</v>
      </c>
      <c r="H64" s="3" t="str">
        <f>IFERROR(__xludf.DUMMYFUNCTION("""COMPUTED_VALUE"""),"ชุด")</f>
        <v>ชุด</v>
      </c>
      <c r="I64" s="3" t="str">
        <f>IFERROR(__xludf.DUMMYFUNCTION("""COMPUTED_VALUE"""),"นวัตกรรมไทย*")</f>
        <v>นวัตกรรมไทย*</v>
      </c>
      <c r="J64" s="3" t="str">
        <f>IFERROR(__xludf.DUMMYFUNCTION("""COMPUTED_VALUE"""),"ฉบับ มี.ค. 65")</f>
        <v>ฉบับ มี.ค. 65</v>
      </c>
      <c r="K64" s="3" t="str">
        <f>IFERROR(__xludf.DUMMYFUNCTION("""COMPUTED_VALUE"""),"พฤษภาคม 2563 - พฤษภาคม 2571 (8 ปี)")</f>
        <v>พฤษภาคม 2563 - พฤษภาคม 2571 (8 ปี)</v>
      </c>
      <c r="L64" s="87">
        <f>IFERROR(__xludf.DUMMYFUNCTION("""COMPUTED_VALUE"""),26054.0)</f>
        <v>26054</v>
      </c>
    </row>
    <row r="65">
      <c r="A65" s="77">
        <v>59.0</v>
      </c>
      <c r="B65" s="3" t="str">
        <f>IFERROR(__xludf.DUMMYFUNCTION("""COMPUTED_VALUE"""),"ครุภัณฑ์สำนักงาน")</f>
        <v>ครุภัณฑ์สำนักงาน</v>
      </c>
      <c r="C65" s="3" t="str">
        <f>IFERROR(__xludf.DUMMYFUNCTION("""COMPUTED_VALUE"""),"เครื่องปรับอากาศและฟอกอากาศ")</f>
        <v>เครื่องปรับอากาศและฟอกอากาศ</v>
      </c>
      <c r="D65" s="3" t="str">
        <f>IFERROR(__xludf.DUMMYFUNCTION("""COMPUTED_VALUE"""),"AIR-66")</f>
        <v>AIR-66</v>
      </c>
      <c r="E65"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380 V / 3 Ø / 50 Hz ขนาด 38,000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38,000 บีทียู</v>
      </c>
      <c r="F65"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5" s="85">
        <f>IFERROR(__xludf.DUMMYFUNCTION("""COMPUTED_VALUE"""),71000.0)</f>
        <v>71000</v>
      </c>
      <c r="H65" s="3" t="str">
        <f>IFERROR(__xludf.DUMMYFUNCTION("""COMPUTED_VALUE"""),"ชุด")</f>
        <v>ชุด</v>
      </c>
      <c r="I65" s="3" t="str">
        <f>IFERROR(__xludf.DUMMYFUNCTION("""COMPUTED_VALUE"""),"นวัตกรรมไทย*")</f>
        <v>นวัตกรรมไทย*</v>
      </c>
      <c r="J65" s="3" t="str">
        <f>IFERROR(__xludf.DUMMYFUNCTION("""COMPUTED_VALUE"""),"ฉบับ มี.ค. 65")</f>
        <v>ฉบับ มี.ค. 65</v>
      </c>
      <c r="K65" s="3" t="str">
        <f>IFERROR(__xludf.DUMMYFUNCTION("""COMPUTED_VALUE"""),"พฤษภาคม 2563 - พฤษภาคม 2571 (8 ปี)")</f>
        <v>พฤษภาคม 2563 - พฤษภาคม 2571 (8 ปี)</v>
      </c>
      <c r="L65" s="87">
        <f>IFERROR(__xludf.DUMMYFUNCTION("""COMPUTED_VALUE"""),26054.0)</f>
        <v>26054</v>
      </c>
    </row>
    <row r="66">
      <c r="A66" s="77">
        <v>60.0</v>
      </c>
      <c r="B66" s="3" t="str">
        <f>IFERROR(__xludf.DUMMYFUNCTION("""COMPUTED_VALUE"""),"ครุภัณฑ์สำนักงาน")</f>
        <v>ครุภัณฑ์สำนักงาน</v>
      </c>
      <c r="C66" s="3" t="str">
        <f>IFERROR(__xludf.DUMMYFUNCTION("""COMPUTED_VALUE"""),"เครื่องปรับอากาศและฟอกอากาศ")</f>
        <v>เครื่องปรับอากาศและฟอกอากาศ</v>
      </c>
      <c r="D66" s="3" t="str">
        <f>IFERROR(__xludf.DUMMYFUNCTION("""COMPUTED_VALUE"""),"AIR-67")</f>
        <v>AIR-67</v>
      </c>
      <c r="E66"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220 V / 1 Ø / 50 Hz ขนาด 40,000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220 V / 1 Ø / 50 Hz ขนาด 40,000 บีทียู</v>
      </c>
      <c r="F66"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6" s="85">
        <f>IFERROR(__xludf.DUMMYFUNCTION("""COMPUTED_VALUE"""),69600.0)</f>
        <v>69600</v>
      </c>
      <c r="H66" s="3" t="str">
        <f>IFERROR(__xludf.DUMMYFUNCTION("""COMPUTED_VALUE"""),"ชุด")</f>
        <v>ชุด</v>
      </c>
      <c r="I66" s="3" t="str">
        <f>IFERROR(__xludf.DUMMYFUNCTION("""COMPUTED_VALUE"""),"นวัตกรรมไทย*")</f>
        <v>นวัตกรรมไทย*</v>
      </c>
      <c r="J66" s="3" t="str">
        <f>IFERROR(__xludf.DUMMYFUNCTION("""COMPUTED_VALUE"""),"ฉบับ มี.ค. 65")</f>
        <v>ฉบับ มี.ค. 65</v>
      </c>
      <c r="K66" s="3" t="str">
        <f>IFERROR(__xludf.DUMMYFUNCTION("""COMPUTED_VALUE"""),"พฤษภาคม 2563 - พฤษภาคม 2571 (8 ปี)")</f>
        <v>พฤษภาคม 2563 - พฤษภาคม 2571 (8 ปี)</v>
      </c>
      <c r="L66" s="87">
        <f>IFERROR(__xludf.DUMMYFUNCTION("""COMPUTED_VALUE"""),26054.0)</f>
        <v>26054</v>
      </c>
    </row>
    <row r="67">
      <c r="A67" s="77">
        <v>61.0</v>
      </c>
      <c r="B67" s="3" t="str">
        <f>IFERROR(__xludf.DUMMYFUNCTION("""COMPUTED_VALUE"""),"ครุภัณฑ์สำนักงาน")</f>
        <v>ครุภัณฑ์สำนักงาน</v>
      </c>
      <c r="C67" s="3" t="str">
        <f>IFERROR(__xludf.DUMMYFUNCTION("""COMPUTED_VALUE"""),"เครื่องปรับอากาศและฟอกอากาศ")</f>
        <v>เครื่องปรับอากาศและฟอกอากาศ</v>
      </c>
      <c r="D67" s="3" t="str">
        <f>IFERROR(__xludf.DUMMYFUNCTION("""COMPUTED_VALUE"""),"AIR-68")</f>
        <v>AIR-68</v>
      </c>
      <c r="E67"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ชนิดแขวน ใช้กับระบบไฟฟ้า 380 V / 3 Ø / 50 Hz ขนาด 40,000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ใช้กับระบบไฟฟ้า 380 V / 3 Ø / 50 Hz ขนาด 40,000 บีทียู</v>
      </c>
      <c r="F67" s="3" t="str">
        <f>IFERROR(__xludf.DUMMYFUNCTION("""COMPUTED_VALUE"""),"Inverter split type room air conditioner with no.5 «««energy efficiency rating label according to EGAT's energy criteria year 2019")</f>
        <v>Inverter split type room air conditioner with no.5 «««energy efficiency rating label according to EGAT's energy criteria year 2019</v>
      </c>
      <c r="G67" s="85">
        <f>IFERROR(__xludf.DUMMYFUNCTION("""COMPUTED_VALUE"""),74600.0)</f>
        <v>74600</v>
      </c>
      <c r="H67" s="3" t="str">
        <f>IFERROR(__xludf.DUMMYFUNCTION("""COMPUTED_VALUE"""),"ชุด")</f>
        <v>ชุด</v>
      </c>
      <c r="I67" s="3" t="str">
        <f>IFERROR(__xludf.DUMMYFUNCTION("""COMPUTED_VALUE"""),"นวัตกรรมไทย*")</f>
        <v>นวัตกรรมไทย*</v>
      </c>
      <c r="J67" s="3" t="str">
        <f>IFERROR(__xludf.DUMMYFUNCTION("""COMPUTED_VALUE"""),"ฉบับ มี.ค. 65")</f>
        <v>ฉบับ มี.ค. 65</v>
      </c>
      <c r="K67" s="3" t="str">
        <f>IFERROR(__xludf.DUMMYFUNCTION("""COMPUTED_VALUE"""),"พฤษภาคม 2563 - พฤษภาคม 2571 (8 ปี)")</f>
        <v>พฤษภาคม 2563 - พฤษภาคม 2571 (8 ปี)</v>
      </c>
      <c r="L67" s="87">
        <f>IFERROR(__xludf.DUMMYFUNCTION("""COMPUTED_VALUE"""),26054.0)</f>
        <v>26054</v>
      </c>
    </row>
    <row r="68">
      <c r="A68" s="77">
        <v>62.0</v>
      </c>
      <c r="B68" s="3" t="str">
        <f>IFERROR(__xludf.DUMMYFUNCTION("""COMPUTED_VALUE"""),"ครุภัณฑ์สำนักงาน")</f>
        <v>ครุภัณฑ์สำนักงาน</v>
      </c>
      <c r="C68" s="3" t="str">
        <f>IFERROR(__xludf.DUMMYFUNCTION("""COMPUTED_VALUE"""),"เครื่องปรับอากาศและฟอกอากาศ")</f>
        <v>เครื่องปรับอากาศและฟอกอากาศ</v>
      </c>
      <c r="D68" s="3" t="str">
        <f>IFERROR(__xludf.DUMMYFUNCTION("""COMPUTED_VALUE"""),"AIR-106")</f>
        <v>AIR-106</v>
      </c>
      <c r="E68"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13,000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13,000 บีทียู</v>
      </c>
      <c r="F68" s="3"/>
      <c r="G68" s="85">
        <f>IFERROR(__xludf.DUMMYFUNCTION("""COMPUTED_VALUE"""),32000.0)</f>
        <v>32000</v>
      </c>
      <c r="H68" s="3" t="str">
        <f>IFERROR(__xludf.DUMMYFUNCTION("""COMPUTED_VALUE"""),"ชุด")</f>
        <v>ชุด</v>
      </c>
      <c r="I68" s="3" t="str">
        <f>IFERROR(__xludf.DUMMYFUNCTION("""COMPUTED_VALUE"""),"นวัตกรรมไทย*")</f>
        <v>นวัตกรรมไทย*</v>
      </c>
      <c r="J68" s="3" t="str">
        <f>IFERROR(__xludf.DUMMYFUNCTION("""COMPUTED_VALUE"""),"ฉบับ มี.ค. 65")</f>
        <v>ฉบับ มี.ค. 65</v>
      </c>
      <c r="K68" s="3" t="str">
        <f>IFERROR(__xludf.DUMMYFUNCTION("""COMPUTED_VALUE"""),"มีนาคม 2565 - พฤษภาคม 2571 (6 ปี 2 เดือน)")</f>
        <v>มีนาคม 2565 - พฤษภาคม 2571 (6 ปี 2 เดือน)</v>
      </c>
      <c r="L68" s="87">
        <f>IFERROR(__xludf.DUMMYFUNCTION("""COMPUTED_VALUE"""),26054.0)</f>
        <v>26054</v>
      </c>
    </row>
    <row r="69">
      <c r="A69" s="77">
        <v>63.0</v>
      </c>
      <c r="B69" s="3" t="str">
        <f>IFERROR(__xludf.DUMMYFUNCTION("""COMPUTED_VALUE"""),"ครุภัณฑ์สำนักงาน")</f>
        <v>ครุภัณฑ์สำนักงาน</v>
      </c>
      <c r="C69" s="3" t="str">
        <f>IFERROR(__xludf.DUMMYFUNCTION("""COMPUTED_VALUE"""),"เครื่องปรับอากาศและฟอกอากาศ")</f>
        <v>เครื่องปรับอากาศและฟอกอากาศ</v>
      </c>
      <c r="D69" s="3" t="str">
        <f>IFERROR(__xludf.DUMMYFUNCTION("""COMPUTED_VALUE"""),"AIR-107")</f>
        <v>AIR-107</v>
      </c>
      <c r="E69"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19,000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19,000 บีทียู</v>
      </c>
      <c r="F69" s="3"/>
      <c r="G69" s="85">
        <f>IFERROR(__xludf.DUMMYFUNCTION("""COMPUTED_VALUE"""),37800.0)</f>
        <v>37800</v>
      </c>
      <c r="H69" s="3" t="str">
        <f>IFERROR(__xludf.DUMMYFUNCTION("""COMPUTED_VALUE"""),"ชุด")</f>
        <v>ชุด</v>
      </c>
      <c r="I69" s="3" t="str">
        <f>IFERROR(__xludf.DUMMYFUNCTION("""COMPUTED_VALUE"""),"นวัตกรรมไทย*")</f>
        <v>นวัตกรรมไทย*</v>
      </c>
      <c r="J69" s="3" t="str">
        <f>IFERROR(__xludf.DUMMYFUNCTION("""COMPUTED_VALUE"""),"ฉบับ มี.ค. 65")</f>
        <v>ฉบับ มี.ค. 65</v>
      </c>
      <c r="K69" s="3" t="str">
        <f>IFERROR(__xludf.DUMMYFUNCTION("""COMPUTED_VALUE"""),"มีนาคม 2565 - พฤษภาคม 2571 (6 ปี 2 เดือน)")</f>
        <v>มีนาคม 2565 - พฤษภาคม 2571 (6 ปี 2 เดือน)</v>
      </c>
      <c r="L69" s="87">
        <f>IFERROR(__xludf.DUMMYFUNCTION("""COMPUTED_VALUE"""),26054.0)</f>
        <v>26054</v>
      </c>
    </row>
    <row r="70">
      <c r="A70" s="77">
        <v>64.0</v>
      </c>
      <c r="B70" s="3" t="str">
        <f>IFERROR(__xludf.DUMMYFUNCTION("""COMPUTED_VALUE"""),"ครุภัณฑ์สำนักงาน")</f>
        <v>ครุภัณฑ์สำนักงาน</v>
      </c>
      <c r="C70" s="3" t="str">
        <f>IFERROR(__xludf.DUMMYFUNCTION("""COMPUTED_VALUE"""),"เครื่องปรับอากาศและฟอกอากาศ")</f>
        <v>เครื่องปรับอากาศและฟอกอากาศ</v>
      </c>
      <c r="D70" s="3" t="str">
        <f>IFERROR(__xludf.DUMMYFUNCTION("""COMPUTED_VALUE"""),"AIR-108")</f>
        <v>AIR-108</v>
      </c>
      <c r="E70"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25,000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25,000 บีทียู</v>
      </c>
      <c r="F70" s="3"/>
      <c r="G70" s="85">
        <f>IFERROR(__xludf.DUMMYFUNCTION("""COMPUTED_VALUE"""),42300.0)</f>
        <v>42300</v>
      </c>
      <c r="H70" s="3" t="str">
        <f>IFERROR(__xludf.DUMMYFUNCTION("""COMPUTED_VALUE"""),"ชุด")</f>
        <v>ชุด</v>
      </c>
      <c r="I70" s="3" t="str">
        <f>IFERROR(__xludf.DUMMYFUNCTION("""COMPUTED_VALUE"""),"นวัตกรรมไทย*")</f>
        <v>นวัตกรรมไทย*</v>
      </c>
      <c r="J70" s="3" t="str">
        <f>IFERROR(__xludf.DUMMYFUNCTION("""COMPUTED_VALUE"""),"ฉบับ มี.ค. 65")</f>
        <v>ฉบับ มี.ค. 65</v>
      </c>
      <c r="K70" s="3" t="str">
        <f>IFERROR(__xludf.DUMMYFUNCTION("""COMPUTED_VALUE"""),"มีนาคม 2565 - พฤษภาคม 2571 (6 ปี 2 เดือน)")</f>
        <v>มีนาคม 2565 - พฤษภาคม 2571 (6 ปี 2 เดือน)</v>
      </c>
      <c r="L70" s="87">
        <f>IFERROR(__xludf.DUMMYFUNCTION("""COMPUTED_VALUE"""),26054.0)</f>
        <v>26054</v>
      </c>
    </row>
    <row r="71">
      <c r="A71" s="77">
        <v>65.0</v>
      </c>
      <c r="B71" s="3" t="str">
        <f>IFERROR(__xludf.DUMMYFUNCTION("""COMPUTED_VALUE"""),"ครุภัณฑ์สำนักงาน")</f>
        <v>ครุภัณฑ์สำนักงาน</v>
      </c>
      <c r="C71" s="3" t="str">
        <f>IFERROR(__xludf.DUMMYFUNCTION("""COMPUTED_VALUE"""),"เครื่องปรับอากาศและฟอกอากาศ")</f>
        <v>เครื่องปรับอากาศและฟอกอากาศ</v>
      </c>
      <c r="D71" s="3" t="str">
        <f>IFERROR(__xludf.DUMMYFUNCTION("""COMPUTED_VALUE"""),"AIR-109")</f>
        <v>AIR-109</v>
      </c>
      <c r="E71"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30,000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30,000 บีทียู</v>
      </c>
      <c r="F71" s="3"/>
      <c r="G71" s="85">
        <f>IFERROR(__xludf.DUMMYFUNCTION("""COMPUTED_VALUE"""),47000.0)</f>
        <v>47000</v>
      </c>
      <c r="H71" s="3" t="str">
        <f>IFERROR(__xludf.DUMMYFUNCTION("""COMPUTED_VALUE"""),"ชุด")</f>
        <v>ชุด</v>
      </c>
      <c r="I71" s="3" t="str">
        <f>IFERROR(__xludf.DUMMYFUNCTION("""COMPUTED_VALUE"""),"นวัตกรรมไทย*")</f>
        <v>นวัตกรรมไทย*</v>
      </c>
      <c r="J71" s="3" t="str">
        <f>IFERROR(__xludf.DUMMYFUNCTION("""COMPUTED_VALUE"""),"ฉบับ มี.ค. 65")</f>
        <v>ฉบับ มี.ค. 65</v>
      </c>
      <c r="K71" s="3" t="str">
        <f>IFERROR(__xludf.DUMMYFUNCTION("""COMPUTED_VALUE"""),"มีนาคม 2565 - พฤษภาคม 2571 (6 ปี 2 เดือน)")</f>
        <v>มีนาคม 2565 - พฤษภาคม 2571 (6 ปี 2 เดือน)</v>
      </c>
      <c r="L71" s="87">
        <f>IFERROR(__xludf.DUMMYFUNCTION("""COMPUTED_VALUE"""),26054.0)</f>
        <v>26054</v>
      </c>
    </row>
    <row r="72">
      <c r="A72" s="77">
        <v>66.0</v>
      </c>
      <c r="B72" s="3" t="str">
        <f>IFERROR(__xludf.DUMMYFUNCTION("""COMPUTED_VALUE"""),"ครุภัณฑ์สำนักงาน")</f>
        <v>ครุภัณฑ์สำนักงาน</v>
      </c>
      <c r="C72" s="3" t="str">
        <f>IFERROR(__xludf.DUMMYFUNCTION("""COMPUTED_VALUE"""),"เครื่องปรับอากาศและฟอกอากาศ")</f>
        <v>เครื่องปรับอากาศและฟอกอากาศ</v>
      </c>
      <c r="D72" s="3" t="str">
        <f>IFERROR(__xludf.DUMMYFUNCTION("""COMPUTED_VALUE"""),"AIR-110")</f>
        <v>AIR-110</v>
      </c>
      <c r="E72"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36,000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36,000 บีทียู</v>
      </c>
      <c r="F72" s="3"/>
      <c r="G72" s="85">
        <f>IFERROR(__xludf.DUMMYFUNCTION("""COMPUTED_VALUE"""),51800.0)</f>
        <v>51800</v>
      </c>
      <c r="H72" s="3" t="str">
        <f>IFERROR(__xludf.DUMMYFUNCTION("""COMPUTED_VALUE"""),"ชุด")</f>
        <v>ชุด</v>
      </c>
      <c r="I72" s="3" t="str">
        <f>IFERROR(__xludf.DUMMYFUNCTION("""COMPUTED_VALUE"""),"นวัตกรรมไทย*")</f>
        <v>นวัตกรรมไทย*</v>
      </c>
      <c r="J72" s="3" t="str">
        <f>IFERROR(__xludf.DUMMYFUNCTION("""COMPUTED_VALUE"""),"ฉบับ มี.ค. 65")</f>
        <v>ฉบับ มี.ค. 65</v>
      </c>
      <c r="K72" s="3" t="str">
        <f>IFERROR(__xludf.DUMMYFUNCTION("""COMPUTED_VALUE"""),"มีนาคม 2565 - พฤษภาคม 2571 (6 ปี 2 เดือน)")</f>
        <v>มีนาคม 2565 - พฤษภาคม 2571 (6 ปี 2 เดือน)</v>
      </c>
      <c r="L72" s="87">
        <f>IFERROR(__xludf.DUMMYFUNCTION("""COMPUTED_VALUE"""),26054.0)</f>
        <v>26054</v>
      </c>
    </row>
    <row r="73">
      <c r="A73" s="77">
        <v>67.0</v>
      </c>
      <c r="B73" s="3" t="str">
        <f>IFERROR(__xludf.DUMMYFUNCTION("""COMPUTED_VALUE"""),"ครุภัณฑ์สำนักงาน")</f>
        <v>ครุภัณฑ์สำนักงาน</v>
      </c>
      <c r="C73" s="3" t="str">
        <f>IFERROR(__xludf.DUMMYFUNCTION("""COMPUTED_VALUE"""),"เครื่องปรับอากาศและฟอกอากาศ")</f>
        <v>เครื่องปรับอากาศและฟอกอากาศ</v>
      </c>
      <c r="D73" s="3" t="str">
        <f>IFERROR(__xludf.DUMMYFUNCTION("""COMPUTED_VALUE"""),"AIR-111")</f>
        <v>AIR-111</v>
      </c>
      <c r="E73"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220 V / 1 Ø / 50 Hz ขนาด 40,000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220 V / 1 Ø / 50 Hz ขนาด 40,000 บีทียู</v>
      </c>
      <c r="F73" s="3"/>
      <c r="G73" s="85">
        <f>IFERROR(__xludf.DUMMYFUNCTION("""COMPUTED_VALUE"""),54900.0)</f>
        <v>54900</v>
      </c>
      <c r="H73" s="3" t="str">
        <f>IFERROR(__xludf.DUMMYFUNCTION("""COMPUTED_VALUE"""),"ชุด")</f>
        <v>ชุด</v>
      </c>
      <c r="I73" s="3" t="str">
        <f>IFERROR(__xludf.DUMMYFUNCTION("""COMPUTED_VALUE"""),"นวัตกรรมไทย*")</f>
        <v>นวัตกรรมไทย*</v>
      </c>
      <c r="J73" s="3" t="str">
        <f>IFERROR(__xludf.DUMMYFUNCTION("""COMPUTED_VALUE"""),"ฉบับ มี.ค. 65")</f>
        <v>ฉบับ มี.ค. 65</v>
      </c>
      <c r="K73" s="3" t="str">
        <f>IFERROR(__xludf.DUMMYFUNCTION("""COMPUTED_VALUE"""),"มีนาคม 2565 - พฤษภาคม 2571 (6 ปี 2 เดือน)")</f>
        <v>มีนาคม 2565 - พฤษภาคม 2571 (6 ปี 2 เดือน)</v>
      </c>
      <c r="L73" s="87">
        <f>IFERROR(__xludf.DUMMYFUNCTION("""COMPUTED_VALUE"""),26054.0)</f>
        <v>26054</v>
      </c>
    </row>
    <row r="74">
      <c r="A74" s="77">
        <v>68.0</v>
      </c>
      <c r="B74" s="3" t="str">
        <f>IFERROR(__xludf.DUMMYFUNCTION("""COMPUTED_VALUE"""),"ครุภัณฑ์สำนักงาน")</f>
        <v>ครุภัณฑ์สำนักงาน</v>
      </c>
      <c r="C74" s="3" t="str">
        <f>IFERROR(__xludf.DUMMYFUNCTION("""COMPUTED_VALUE"""),"เครื่องปรับอากาศและฟอกอากาศ")</f>
        <v>เครื่องปรับอากาศและฟอกอากาศ</v>
      </c>
      <c r="D74" s="3" t="str">
        <f>IFERROR(__xludf.DUMMYFUNCTION("""COMPUTED_VALUE"""),"AIR-112")</f>
        <v>AIR-112</v>
      </c>
      <c r="E74"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380 V / 3 Ø / 50 Hz ขนาด 36,000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36,000 บีทียู</v>
      </c>
      <c r="F74" s="3"/>
      <c r="G74" s="85">
        <f>IFERROR(__xludf.DUMMYFUNCTION("""COMPUTED_VALUE"""),58500.0)</f>
        <v>58500</v>
      </c>
      <c r="H74" s="3" t="str">
        <f>IFERROR(__xludf.DUMMYFUNCTION("""COMPUTED_VALUE"""),"ชุด")</f>
        <v>ชุด</v>
      </c>
      <c r="I74" s="3" t="str">
        <f>IFERROR(__xludf.DUMMYFUNCTION("""COMPUTED_VALUE"""),"นวัตกรรมไทย*")</f>
        <v>นวัตกรรมไทย*</v>
      </c>
      <c r="J74" s="3" t="str">
        <f>IFERROR(__xludf.DUMMYFUNCTION("""COMPUTED_VALUE"""),"ฉบับ มี.ค. 65")</f>
        <v>ฉบับ มี.ค. 65</v>
      </c>
      <c r="K74" s="3" t="str">
        <f>IFERROR(__xludf.DUMMYFUNCTION("""COMPUTED_VALUE"""),"มีนาคม 2565 - พฤษภาคม 2571 (6 ปี 2 เดือน)")</f>
        <v>มีนาคม 2565 - พฤษภาคม 2571 (6 ปี 2 เดือน)</v>
      </c>
      <c r="L74" s="87">
        <f>IFERROR(__xludf.DUMMYFUNCTION("""COMPUTED_VALUE"""),26054.0)</f>
        <v>26054</v>
      </c>
    </row>
    <row r="75">
      <c r="A75" s="77">
        <v>69.0</v>
      </c>
      <c r="B75" s="3" t="str">
        <f>IFERROR(__xludf.DUMMYFUNCTION("""COMPUTED_VALUE"""),"ครุภัณฑ์สำนักงาน")</f>
        <v>ครุภัณฑ์สำนักงาน</v>
      </c>
      <c r="C75" s="3" t="str">
        <f>IFERROR(__xludf.DUMMYFUNCTION("""COMPUTED_VALUE"""),"เครื่องปรับอากาศและฟอกอากาศ")</f>
        <v>เครื่องปรับอากาศและฟอกอากาศ</v>
      </c>
      <c r="D75" s="3" t="str">
        <f>IFERROR(__xludf.DUMMYFUNCTION("""COMPUTED_VALUE"""),"AIR-113")</f>
        <v>AIR-113</v>
      </c>
      <c r="E75" s="3" t="str">
        <f>IFERROR(__xludf.DUMMYFUNCTION("""COMPUTED_VALUE"""),"เครื่องปรับอากาศสำหรับห้อง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2019)"&amp;" รุ่น High Energy Efficiency Inverter ชนิดตั้งแขวน ใช้กับระบบไฟฟ้า 380 V / 3 Ø / 50 Hz ขนาด 40,000 บีทียู")</f>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ใช้กับระบบไฟฟ้า 380 V / 3 Ø / 50 Hz ขนาด 40,000 บีทียู</v>
      </c>
      <c r="F75" s="3"/>
      <c r="G75" s="85">
        <f>IFERROR(__xludf.DUMMYFUNCTION("""COMPUTED_VALUE"""),62600.0)</f>
        <v>62600</v>
      </c>
      <c r="H75" s="3" t="str">
        <f>IFERROR(__xludf.DUMMYFUNCTION("""COMPUTED_VALUE"""),"ชุด")</f>
        <v>ชุด</v>
      </c>
      <c r="I75" s="3" t="str">
        <f>IFERROR(__xludf.DUMMYFUNCTION("""COMPUTED_VALUE"""),"นวัตกรรมไทย*")</f>
        <v>นวัตกรรมไทย*</v>
      </c>
      <c r="J75" s="3" t="str">
        <f>IFERROR(__xludf.DUMMYFUNCTION("""COMPUTED_VALUE"""),"ฉบับ มี.ค. 65")</f>
        <v>ฉบับ มี.ค. 65</v>
      </c>
      <c r="K75" s="3" t="str">
        <f>IFERROR(__xludf.DUMMYFUNCTION("""COMPUTED_VALUE"""),"มีนาคม 2565 - พฤษภาคม 2571 (6 ปี 2 เดือน)")</f>
        <v>มีนาคม 2565 - พฤษภาคม 2571 (6 ปี 2 เดือน)</v>
      </c>
      <c r="L75" s="87">
        <f>IFERROR(__xludf.DUMMYFUNCTION("""COMPUTED_VALUE"""),26054.0)</f>
        <v>26054</v>
      </c>
    </row>
    <row r="76">
      <c r="A76" s="77" t="s">
        <v>4014</v>
      </c>
    </row>
    <row r="77">
      <c r="A77" s="77" t="s">
        <v>4014</v>
      </c>
    </row>
    <row r="78">
      <c r="A78" s="77" t="s">
        <v>4014</v>
      </c>
    </row>
    <row r="79">
      <c r="A79" s="77" t="s">
        <v>4014</v>
      </c>
    </row>
    <row r="80">
      <c r="A80" s="77" t="s">
        <v>4014</v>
      </c>
    </row>
    <row r="81">
      <c r="A81" s="77" t="s">
        <v>4014</v>
      </c>
    </row>
    <row r="82">
      <c r="A82" s="77" t="s">
        <v>4014</v>
      </c>
    </row>
    <row r="83">
      <c r="A83" s="77" t="s">
        <v>4014</v>
      </c>
    </row>
    <row r="84">
      <c r="A84" s="77" t="s">
        <v>4014</v>
      </c>
    </row>
    <row r="85">
      <c r="A85" s="77" t="s">
        <v>4014</v>
      </c>
    </row>
    <row r="86">
      <c r="A86" s="77" t="s">
        <v>4014</v>
      </c>
    </row>
    <row r="87">
      <c r="A87" s="77" t="s">
        <v>4014</v>
      </c>
    </row>
    <row r="88">
      <c r="A88" s="77" t="s">
        <v>4014</v>
      </c>
    </row>
    <row r="89">
      <c r="A89" s="77" t="s">
        <v>4014</v>
      </c>
    </row>
    <row r="90">
      <c r="A90" s="77" t="s">
        <v>4014</v>
      </c>
    </row>
    <row r="91">
      <c r="A91" s="77" t="s">
        <v>4014</v>
      </c>
    </row>
    <row r="92">
      <c r="A92" s="77" t="s">
        <v>4014</v>
      </c>
    </row>
    <row r="93">
      <c r="A93" s="77" t="s">
        <v>4014</v>
      </c>
    </row>
    <row r="94">
      <c r="A94" s="77" t="s">
        <v>4014</v>
      </c>
    </row>
    <row r="95">
      <c r="A95" s="77" t="s">
        <v>4014</v>
      </c>
    </row>
    <row r="96">
      <c r="A96" s="77" t="s">
        <v>4014</v>
      </c>
    </row>
    <row r="97">
      <c r="A97" s="77" t="s">
        <v>4014</v>
      </c>
    </row>
    <row r="98">
      <c r="A98" s="77" t="s">
        <v>4014</v>
      </c>
    </row>
    <row r="99">
      <c r="A99" s="77" t="s">
        <v>4014</v>
      </c>
    </row>
    <row r="100">
      <c r="A100" s="77" t="s">
        <v>4014</v>
      </c>
    </row>
    <row r="101">
      <c r="A101" s="77" t="s">
        <v>4014</v>
      </c>
    </row>
    <row r="102">
      <c r="A102" s="77" t="s">
        <v>4014</v>
      </c>
    </row>
    <row r="103">
      <c r="A103" s="77" t="s">
        <v>4014</v>
      </c>
    </row>
    <row r="104">
      <c r="A104" s="77" t="s">
        <v>4014</v>
      </c>
    </row>
    <row r="105">
      <c r="A105" s="77" t="s">
        <v>4014</v>
      </c>
    </row>
    <row r="106">
      <c r="A106" s="77" t="s">
        <v>4014</v>
      </c>
    </row>
    <row r="107">
      <c r="A107" s="77" t="s">
        <v>4014</v>
      </c>
    </row>
    <row r="108">
      <c r="A108" s="77" t="s">
        <v>4014</v>
      </c>
    </row>
    <row r="109">
      <c r="A109" s="77" t="s">
        <v>4014</v>
      </c>
    </row>
    <row r="110">
      <c r="A110" s="77" t="s">
        <v>4014</v>
      </c>
    </row>
    <row r="111">
      <c r="A111" s="77" t="s">
        <v>4014</v>
      </c>
    </row>
    <row r="112">
      <c r="A112" s="77" t="s">
        <v>4014</v>
      </c>
    </row>
    <row r="113">
      <c r="A113" s="77" t="s">
        <v>4014</v>
      </c>
    </row>
    <row r="114">
      <c r="A114" s="77" t="s">
        <v>4014</v>
      </c>
    </row>
    <row r="115">
      <c r="A115" s="77" t="s">
        <v>4014</v>
      </c>
    </row>
    <row r="116">
      <c r="A116" s="77" t="s">
        <v>4014</v>
      </c>
    </row>
    <row r="117">
      <c r="A117" s="77" t="s">
        <v>4014</v>
      </c>
    </row>
    <row r="118">
      <c r="A118" s="77" t="s">
        <v>4014</v>
      </c>
    </row>
    <row r="119">
      <c r="A119" s="77" t="s">
        <v>4014</v>
      </c>
    </row>
    <row r="120">
      <c r="A120" s="77" t="s">
        <v>4014</v>
      </c>
    </row>
    <row r="121">
      <c r="A121" s="77" t="s">
        <v>4014</v>
      </c>
    </row>
    <row r="122">
      <c r="A122" s="77" t="s">
        <v>4014</v>
      </c>
    </row>
    <row r="123">
      <c r="A123" s="77" t="s">
        <v>4014</v>
      </c>
    </row>
    <row r="124">
      <c r="A124" s="77" t="s">
        <v>4014</v>
      </c>
    </row>
    <row r="125">
      <c r="A125" s="77" t="s">
        <v>4014</v>
      </c>
    </row>
    <row r="126">
      <c r="A126" s="77" t="s">
        <v>4014</v>
      </c>
    </row>
    <row r="127">
      <c r="A127" s="77" t="s">
        <v>4014</v>
      </c>
    </row>
    <row r="128">
      <c r="A128" s="77" t="s">
        <v>4014</v>
      </c>
    </row>
    <row r="129">
      <c r="A129" s="77" t="s">
        <v>4014</v>
      </c>
    </row>
    <row r="130">
      <c r="A130" s="77" t="s">
        <v>4014</v>
      </c>
    </row>
    <row r="131">
      <c r="A131" s="77" t="s">
        <v>4014</v>
      </c>
    </row>
    <row r="132">
      <c r="A132" s="77" t="s">
        <v>4014</v>
      </c>
    </row>
    <row r="133">
      <c r="A133" s="77" t="s">
        <v>4014</v>
      </c>
    </row>
    <row r="134">
      <c r="A134" s="77" t="s">
        <v>4014</v>
      </c>
    </row>
    <row r="135">
      <c r="A135" s="77" t="s">
        <v>4014</v>
      </c>
    </row>
    <row r="136">
      <c r="A136" s="77" t="s">
        <v>4014</v>
      </c>
    </row>
    <row r="137">
      <c r="A137" s="77" t="s">
        <v>4014</v>
      </c>
    </row>
    <row r="138">
      <c r="A138" s="77" t="s">
        <v>4014</v>
      </c>
    </row>
    <row r="139">
      <c r="A139" s="77" t="s">
        <v>4014</v>
      </c>
    </row>
    <row r="140">
      <c r="A140" s="77" t="s">
        <v>4014</v>
      </c>
    </row>
    <row r="141">
      <c r="A141" s="77" t="s">
        <v>4014</v>
      </c>
    </row>
    <row r="142">
      <c r="A142" s="77" t="s">
        <v>4014</v>
      </c>
    </row>
    <row r="143">
      <c r="A143" s="77" t="s">
        <v>4014</v>
      </c>
    </row>
    <row r="144">
      <c r="A144" s="77" t="s">
        <v>4014</v>
      </c>
    </row>
    <row r="145">
      <c r="A145" s="77" t="s">
        <v>4014</v>
      </c>
    </row>
    <row r="146">
      <c r="A146" s="77" t="s">
        <v>4014</v>
      </c>
    </row>
    <row r="147">
      <c r="A147" s="77" t="s">
        <v>4014</v>
      </c>
    </row>
    <row r="148">
      <c r="A148" s="77" t="s">
        <v>4014</v>
      </c>
    </row>
    <row r="149">
      <c r="A149" s="77" t="s">
        <v>4014</v>
      </c>
    </row>
    <row r="150">
      <c r="A150" s="77" t="s">
        <v>4014</v>
      </c>
    </row>
    <row r="151">
      <c r="A151" s="77" t="s">
        <v>4014</v>
      </c>
    </row>
    <row r="152">
      <c r="A152" s="77" t="s">
        <v>4014</v>
      </c>
    </row>
    <row r="153">
      <c r="A153" s="77" t="s">
        <v>4014</v>
      </c>
    </row>
    <row r="154">
      <c r="A154" s="77" t="s">
        <v>4014</v>
      </c>
    </row>
    <row r="155">
      <c r="A155" s="77" t="s">
        <v>4014</v>
      </c>
    </row>
    <row r="156">
      <c r="A156" s="77" t="s">
        <v>4014</v>
      </c>
    </row>
    <row r="157">
      <c r="A157" s="77" t="s">
        <v>4014</v>
      </c>
    </row>
    <row r="158">
      <c r="A158" s="77" t="s">
        <v>4014</v>
      </c>
    </row>
    <row r="159">
      <c r="A159" s="77" t="s">
        <v>4014</v>
      </c>
    </row>
    <row r="160">
      <c r="A160" s="77" t="s">
        <v>4014</v>
      </c>
    </row>
    <row r="161">
      <c r="A161" s="77" t="s">
        <v>4014</v>
      </c>
    </row>
    <row r="162">
      <c r="A162" s="77" t="s">
        <v>4014</v>
      </c>
    </row>
    <row r="163">
      <c r="A163" s="77" t="s">
        <v>4014</v>
      </c>
    </row>
    <row r="164">
      <c r="A164" s="77" t="s">
        <v>4014</v>
      </c>
    </row>
    <row r="165">
      <c r="A165" s="77" t="s">
        <v>4014</v>
      </c>
    </row>
    <row r="166">
      <c r="A166" s="77" t="s">
        <v>4014</v>
      </c>
    </row>
    <row r="167">
      <c r="A167" s="77" t="s">
        <v>4014</v>
      </c>
    </row>
    <row r="168">
      <c r="A168" s="77" t="s">
        <v>4014</v>
      </c>
    </row>
    <row r="169">
      <c r="A169" s="77" t="s">
        <v>4014</v>
      </c>
    </row>
    <row r="170">
      <c r="A170" s="77" t="s">
        <v>4014</v>
      </c>
    </row>
    <row r="171">
      <c r="A171" s="77" t="s">
        <v>4014</v>
      </c>
    </row>
    <row r="172">
      <c r="A172" s="77" t="s">
        <v>4014</v>
      </c>
    </row>
    <row r="173">
      <c r="A173" s="77" t="s">
        <v>4014</v>
      </c>
    </row>
    <row r="174">
      <c r="A174" s="77" t="s">
        <v>4014</v>
      </c>
    </row>
    <row r="175">
      <c r="A175" s="77" t="s">
        <v>4014</v>
      </c>
    </row>
    <row r="176">
      <c r="A176" s="77" t="s">
        <v>4014</v>
      </c>
    </row>
    <row r="177">
      <c r="A177" s="77" t="s">
        <v>4014</v>
      </c>
    </row>
    <row r="178">
      <c r="A178" s="77" t="s">
        <v>4014</v>
      </c>
    </row>
    <row r="179">
      <c r="A179" s="77" t="s">
        <v>4014</v>
      </c>
    </row>
    <row r="180">
      <c r="A180" s="77" t="s">
        <v>4014</v>
      </c>
    </row>
    <row r="181">
      <c r="A181" s="77" t="s">
        <v>4014</v>
      </c>
    </row>
    <row r="182">
      <c r="A182" s="77" t="s">
        <v>4014</v>
      </c>
    </row>
    <row r="183">
      <c r="A183" s="77" t="s">
        <v>4014</v>
      </c>
    </row>
    <row r="184">
      <c r="A184" s="77" t="s">
        <v>4014</v>
      </c>
    </row>
    <row r="185">
      <c r="A185" s="77" t="s">
        <v>4014</v>
      </c>
    </row>
    <row r="186">
      <c r="A186" s="77" t="s">
        <v>4014</v>
      </c>
    </row>
    <row r="187">
      <c r="A187" s="77" t="s">
        <v>4014</v>
      </c>
    </row>
    <row r="188">
      <c r="A188" s="77" t="s">
        <v>4014</v>
      </c>
    </row>
    <row r="189">
      <c r="A189" s="77" t="s">
        <v>4014</v>
      </c>
    </row>
    <row r="190">
      <c r="A190" s="77" t="s">
        <v>4014</v>
      </c>
    </row>
    <row r="191">
      <c r="A191" s="77" t="s">
        <v>4014</v>
      </c>
    </row>
    <row r="192">
      <c r="A192" s="77" t="s">
        <v>4014</v>
      </c>
    </row>
    <row r="193">
      <c r="A193" s="77" t="s">
        <v>4014</v>
      </c>
    </row>
    <row r="194">
      <c r="A194" s="77" t="s">
        <v>4014</v>
      </c>
    </row>
    <row r="195">
      <c r="A195" s="77" t="s">
        <v>4014</v>
      </c>
    </row>
    <row r="196">
      <c r="A196" s="77" t="s">
        <v>4014</v>
      </c>
    </row>
    <row r="197">
      <c r="A197" s="77" t="s">
        <v>4014</v>
      </c>
    </row>
    <row r="198">
      <c r="A198" s="77" t="s">
        <v>4014</v>
      </c>
    </row>
    <row r="199">
      <c r="A199" s="77" t="s">
        <v>4014</v>
      </c>
    </row>
    <row r="200">
      <c r="A200" s="77" t="s">
        <v>4014</v>
      </c>
    </row>
    <row r="201">
      <c r="A201" s="77" t="s">
        <v>4014</v>
      </c>
    </row>
    <row r="202">
      <c r="A202" s="77" t="s">
        <v>4014</v>
      </c>
    </row>
    <row r="203">
      <c r="A203" s="77" t="s">
        <v>4014</v>
      </c>
    </row>
    <row r="204">
      <c r="A204" s="77" t="s">
        <v>4014</v>
      </c>
    </row>
    <row r="205">
      <c r="A205" s="77" t="s">
        <v>4014</v>
      </c>
    </row>
    <row r="206">
      <c r="A206" s="77" t="s">
        <v>4014</v>
      </c>
    </row>
    <row r="207">
      <c r="A207" s="77" t="s">
        <v>4014</v>
      </c>
    </row>
    <row r="208">
      <c r="A208" s="77" t="s">
        <v>4014</v>
      </c>
    </row>
    <row r="209">
      <c r="A209" s="77" t="s">
        <v>4014</v>
      </c>
    </row>
    <row r="210">
      <c r="A210" s="77" t="s">
        <v>4014</v>
      </c>
    </row>
    <row r="211">
      <c r="A211" s="77" t="s">
        <v>4014</v>
      </c>
    </row>
    <row r="212">
      <c r="A212" s="77" t="s">
        <v>4014</v>
      </c>
    </row>
    <row r="213">
      <c r="A213" s="77" t="s">
        <v>4014</v>
      </c>
    </row>
    <row r="214">
      <c r="A214" s="77" t="s">
        <v>4014</v>
      </c>
    </row>
    <row r="215">
      <c r="A215" s="77" t="s">
        <v>4014</v>
      </c>
    </row>
    <row r="216">
      <c r="A216" s="77" t="s">
        <v>4014</v>
      </c>
    </row>
    <row r="217">
      <c r="A217" s="77" t="s">
        <v>4014</v>
      </c>
    </row>
    <row r="218">
      <c r="A218" s="77" t="s">
        <v>4014</v>
      </c>
    </row>
    <row r="219">
      <c r="A219" s="77" t="s">
        <v>4014</v>
      </c>
    </row>
    <row r="220">
      <c r="A220" s="77" t="s">
        <v>4014</v>
      </c>
    </row>
    <row r="221">
      <c r="A221" s="77" t="s">
        <v>4014</v>
      </c>
    </row>
    <row r="222">
      <c r="A222" s="77" t="s">
        <v>4014</v>
      </c>
    </row>
    <row r="223">
      <c r="A223" s="77" t="s">
        <v>4014</v>
      </c>
    </row>
    <row r="224">
      <c r="A224" s="77" t="s">
        <v>4014</v>
      </c>
    </row>
    <row r="225">
      <c r="A225" s="77" t="s">
        <v>4014</v>
      </c>
    </row>
    <row r="226">
      <c r="A226" s="77" t="s">
        <v>4014</v>
      </c>
    </row>
    <row r="227">
      <c r="A227" s="77" t="s">
        <v>4014</v>
      </c>
    </row>
    <row r="228">
      <c r="A228" s="77" t="s">
        <v>4014</v>
      </c>
    </row>
    <row r="229">
      <c r="A229" s="77" t="s">
        <v>4014</v>
      </c>
    </row>
    <row r="230">
      <c r="A230" s="77" t="s">
        <v>4014</v>
      </c>
    </row>
    <row r="231">
      <c r="A231" s="77" t="s">
        <v>4014</v>
      </c>
    </row>
    <row r="232">
      <c r="A232" s="77" t="s">
        <v>4014</v>
      </c>
    </row>
    <row r="233">
      <c r="A233" s="77" t="s">
        <v>4014</v>
      </c>
    </row>
    <row r="234">
      <c r="A234" s="77" t="s">
        <v>4014</v>
      </c>
    </row>
    <row r="235">
      <c r="A235" s="77" t="s">
        <v>4014</v>
      </c>
    </row>
    <row r="236">
      <c r="A236" s="77" t="s">
        <v>4014</v>
      </c>
    </row>
    <row r="237">
      <c r="A237" s="77" t="s">
        <v>4014</v>
      </c>
    </row>
    <row r="238">
      <c r="A238" s="77" t="s">
        <v>4014</v>
      </c>
    </row>
    <row r="239">
      <c r="A239" s="77" t="s">
        <v>4014</v>
      </c>
    </row>
    <row r="240">
      <c r="A240" s="77" t="s">
        <v>4014</v>
      </c>
    </row>
    <row r="241">
      <c r="A241" s="77" t="s">
        <v>4014</v>
      </c>
    </row>
    <row r="242">
      <c r="A242" s="77" t="s">
        <v>4014</v>
      </c>
    </row>
    <row r="243">
      <c r="A243" s="77" t="s">
        <v>4014</v>
      </c>
    </row>
    <row r="244">
      <c r="A244" s="77" t="s">
        <v>4014</v>
      </c>
    </row>
    <row r="245">
      <c r="A245" s="77" t="s">
        <v>4014</v>
      </c>
    </row>
    <row r="246">
      <c r="A246" s="77" t="s">
        <v>4014</v>
      </c>
    </row>
    <row r="247">
      <c r="A247" s="77" t="s">
        <v>4014</v>
      </c>
    </row>
    <row r="248">
      <c r="A248" s="77" t="s">
        <v>4014</v>
      </c>
    </row>
    <row r="249">
      <c r="A249" s="77" t="s">
        <v>4014</v>
      </c>
    </row>
    <row r="250">
      <c r="A250" s="77" t="s">
        <v>4014</v>
      </c>
    </row>
    <row r="251">
      <c r="A251" s="77" t="s">
        <v>4014</v>
      </c>
    </row>
    <row r="252">
      <c r="A252" s="77" t="s">
        <v>4014</v>
      </c>
    </row>
    <row r="253">
      <c r="A253" s="77" t="s">
        <v>4014</v>
      </c>
    </row>
    <row r="254">
      <c r="A254" s="77" t="s">
        <v>4014</v>
      </c>
    </row>
    <row r="255">
      <c r="A255" s="77" t="s">
        <v>4014</v>
      </c>
    </row>
    <row r="256">
      <c r="A256" s="77" t="s">
        <v>4014</v>
      </c>
    </row>
    <row r="257">
      <c r="A257" s="77" t="s">
        <v>4014</v>
      </c>
    </row>
    <row r="258">
      <c r="A258" s="77" t="s">
        <v>4014</v>
      </c>
    </row>
    <row r="259">
      <c r="A259" s="77" t="s">
        <v>4014</v>
      </c>
    </row>
    <row r="260">
      <c r="A260" s="77" t="s">
        <v>4014</v>
      </c>
    </row>
    <row r="261">
      <c r="A261" s="77" t="s">
        <v>4014</v>
      </c>
    </row>
    <row r="262">
      <c r="A262" s="77" t="s">
        <v>4014</v>
      </c>
    </row>
    <row r="263">
      <c r="A263" s="77" t="s">
        <v>4014</v>
      </c>
    </row>
    <row r="264">
      <c r="A264" s="77" t="s">
        <v>4014</v>
      </c>
    </row>
    <row r="265">
      <c r="A265" s="77" t="s">
        <v>4014</v>
      </c>
    </row>
    <row r="266">
      <c r="A266" s="77" t="s">
        <v>4014</v>
      </c>
    </row>
    <row r="267">
      <c r="A267" s="77" t="s">
        <v>4014</v>
      </c>
    </row>
    <row r="268">
      <c r="A268" s="77" t="s">
        <v>4014</v>
      </c>
    </row>
    <row r="269">
      <c r="A269" s="77" t="s">
        <v>4014</v>
      </c>
    </row>
    <row r="270">
      <c r="A270" s="77" t="s">
        <v>4014</v>
      </c>
    </row>
    <row r="271">
      <c r="A271" s="77" t="s">
        <v>4014</v>
      </c>
    </row>
    <row r="272">
      <c r="A272" s="77" t="s">
        <v>4014</v>
      </c>
    </row>
    <row r="273">
      <c r="A273" s="77" t="s">
        <v>4014</v>
      </c>
    </row>
    <row r="274">
      <c r="A274" s="77" t="s">
        <v>4014</v>
      </c>
    </row>
    <row r="275">
      <c r="A275" s="77" t="s">
        <v>4014</v>
      </c>
    </row>
    <row r="276">
      <c r="A276" s="77" t="s">
        <v>4014</v>
      </c>
    </row>
    <row r="277">
      <c r="A277" s="77" t="s">
        <v>4014</v>
      </c>
    </row>
    <row r="278">
      <c r="A278" s="77" t="s">
        <v>4014</v>
      </c>
    </row>
    <row r="279">
      <c r="A279" s="77" t="s">
        <v>4014</v>
      </c>
    </row>
    <row r="280">
      <c r="A280" s="77" t="s">
        <v>4014</v>
      </c>
    </row>
    <row r="281">
      <c r="A281" s="77" t="s">
        <v>4014</v>
      </c>
    </row>
    <row r="282">
      <c r="A282" s="77" t="s">
        <v>4014</v>
      </c>
    </row>
    <row r="283">
      <c r="A283" s="77" t="s">
        <v>4014</v>
      </c>
    </row>
    <row r="284">
      <c r="A284" s="77" t="s">
        <v>4014</v>
      </c>
    </row>
    <row r="285">
      <c r="A285" s="77" t="s">
        <v>4014</v>
      </c>
    </row>
    <row r="286">
      <c r="A286" s="77" t="s">
        <v>4014</v>
      </c>
    </row>
    <row r="287">
      <c r="A287" s="77" t="s">
        <v>4014</v>
      </c>
    </row>
    <row r="288">
      <c r="A288" s="77" t="s">
        <v>4014</v>
      </c>
    </row>
    <row r="289">
      <c r="A289" s="77" t="s">
        <v>4014</v>
      </c>
    </row>
    <row r="290">
      <c r="A290" s="77" t="s">
        <v>4014</v>
      </c>
    </row>
    <row r="291">
      <c r="A291" s="77" t="s">
        <v>4014</v>
      </c>
    </row>
    <row r="292">
      <c r="A292" s="77" t="s">
        <v>4014</v>
      </c>
    </row>
    <row r="293">
      <c r="A293" s="77" t="s">
        <v>4014</v>
      </c>
    </row>
    <row r="294">
      <c r="A294" s="77" t="s">
        <v>4014</v>
      </c>
    </row>
    <row r="295">
      <c r="A295" s="77" t="s">
        <v>4014</v>
      </c>
    </row>
    <row r="296">
      <c r="A296" s="77" t="s">
        <v>4014</v>
      </c>
    </row>
    <row r="297">
      <c r="A297" s="77" t="s">
        <v>4014</v>
      </c>
    </row>
    <row r="298">
      <c r="A298" s="77" t="s">
        <v>4014</v>
      </c>
    </row>
    <row r="299">
      <c r="A299" s="77" t="s">
        <v>4014</v>
      </c>
    </row>
    <row r="300">
      <c r="A300" s="77" t="s">
        <v>4014</v>
      </c>
    </row>
    <row r="301">
      <c r="A301" s="77" t="s">
        <v>4014</v>
      </c>
    </row>
    <row r="302">
      <c r="A302" s="77" t="s">
        <v>4014</v>
      </c>
    </row>
    <row r="303">
      <c r="A303" s="77" t="s">
        <v>4014</v>
      </c>
    </row>
    <row r="304">
      <c r="A304" s="77" t="s">
        <v>4014</v>
      </c>
    </row>
    <row r="305">
      <c r="A305" s="77" t="s">
        <v>4014</v>
      </c>
    </row>
    <row r="306">
      <c r="A306" s="77" t="s">
        <v>4014</v>
      </c>
    </row>
    <row r="307">
      <c r="A307" s="77" t="s">
        <v>4014</v>
      </c>
    </row>
    <row r="308">
      <c r="A308" s="77" t="s">
        <v>4014</v>
      </c>
    </row>
    <row r="309">
      <c r="A309" s="77" t="s">
        <v>4014</v>
      </c>
    </row>
    <row r="310">
      <c r="A310" s="77" t="s">
        <v>4014</v>
      </c>
    </row>
    <row r="311">
      <c r="A311" s="77" t="s">
        <v>4014</v>
      </c>
    </row>
    <row r="312">
      <c r="A312" s="77" t="s">
        <v>4014</v>
      </c>
    </row>
    <row r="313">
      <c r="A313" s="77" t="s">
        <v>4014</v>
      </c>
    </row>
    <row r="314">
      <c r="A314" s="77" t="s">
        <v>4014</v>
      </c>
    </row>
    <row r="315">
      <c r="A315" s="77" t="s">
        <v>4014</v>
      </c>
    </row>
    <row r="316">
      <c r="A316" s="77" t="s">
        <v>4014</v>
      </c>
    </row>
    <row r="317">
      <c r="A317" s="77" t="s">
        <v>4014</v>
      </c>
    </row>
    <row r="318">
      <c r="A318" s="77" t="s">
        <v>4014</v>
      </c>
    </row>
    <row r="319">
      <c r="A319" s="77" t="s">
        <v>4014</v>
      </c>
    </row>
    <row r="320">
      <c r="A320" s="77" t="s">
        <v>4014</v>
      </c>
    </row>
    <row r="321">
      <c r="A321" s="77" t="s">
        <v>4014</v>
      </c>
    </row>
    <row r="322">
      <c r="A322" s="77" t="s">
        <v>4014</v>
      </c>
    </row>
    <row r="323">
      <c r="A323" s="77" t="s">
        <v>4014</v>
      </c>
    </row>
    <row r="324">
      <c r="A324" s="77" t="s">
        <v>4014</v>
      </c>
    </row>
    <row r="325">
      <c r="A325" s="77" t="s">
        <v>4014</v>
      </c>
    </row>
    <row r="326">
      <c r="A326" s="77" t="s">
        <v>4014</v>
      </c>
    </row>
    <row r="327">
      <c r="A327" s="77" t="s">
        <v>4014</v>
      </c>
    </row>
    <row r="328">
      <c r="A328" s="77" t="s">
        <v>4014</v>
      </c>
    </row>
    <row r="329">
      <c r="A329" s="77" t="s">
        <v>4014</v>
      </c>
    </row>
    <row r="330">
      <c r="A330" s="77" t="s">
        <v>4014</v>
      </c>
    </row>
    <row r="331">
      <c r="A331" s="77" t="s">
        <v>4014</v>
      </c>
    </row>
    <row r="332">
      <c r="A332" s="77" t="s">
        <v>4014</v>
      </c>
    </row>
    <row r="333">
      <c r="A333" s="77" t="s">
        <v>4014</v>
      </c>
    </row>
    <row r="334">
      <c r="A334" s="77" t="s">
        <v>4014</v>
      </c>
    </row>
    <row r="335">
      <c r="A335" s="77" t="s">
        <v>4014</v>
      </c>
    </row>
    <row r="336">
      <c r="A336" s="77" t="s">
        <v>4014</v>
      </c>
    </row>
    <row r="337">
      <c r="A337" s="77" t="s">
        <v>4014</v>
      </c>
    </row>
    <row r="338">
      <c r="A338" s="77" t="s">
        <v>4014</v>
      </c>
    </row>
    <row r="339">
      <c r="A339" s="77" t="s">
        <v>4014</v>
      </c>
    </row>
    <row r="340">
      <c r="A340" s="77" t="s">
        <v>4014</v>
      </c>
    </row>
    <row r="341">
      <c r="A341" s="77" t="s">
        <v>4014</v>
      </c>
    </row>
    <row r="342">
      <c r="A342" s="77" t="s">
        <v>4014</v>
      </c>
    </row>
    <row r="343">
      <c r="A343" s="77" t="s">
        <v>4014</v>
      </c>
    </row>
    <row r="344">
      <c r="A344" s="77" t="s">
        <v>4014</v>
      </c>
    </row>
    <row r="345">
      <c r="A345" s="77" t="s">
        <v>4014</v>
      </c>
    </row>
    <row r="346">
      <c r="A346" s="77" t="s">
        <v>4014</v>
      </c>
    </row>
    <row r="347">
      <c r="A347" s="77" t="s">
        <v>4014</v>
      </c>
    </row>
    <row r="348">
      <c r="A348" s="77" t="s">
        <v>4014</v>
      </c>
    </row>
    <row r="349">
      <c r="A349" s="77" t="s">
        <v>4014</v>
      </c>
    </row>
    <row r="350">
      <c r="A350" s="77" t="s">
        <v>4014</v>
      </c>
    </row>
    <row r="351">
      <c r="A351" s="77" t="s">
        <v>4014</v>
      </c>
    </row>
    <row r="352">
      <c r="A352" s="77" t="s">
        <v>4014</v>
      </c>
    </row>
    <row r="353">
      <c r="A353" s="77" t="s">
        <v>4014</v>
      </c>
    </row>
    <row r="354">
      <c r="A354" s="77" t="s">
        <v>4014</v>
      </c>
    </row>
    <row r="355">
      <c r="A355" s="77" t="s">
        <v>4014</v>
      </c>
    </row>
    <row r="356">
      <c r="A356" s="77" t="s">
        <v>4014</v>
      </c>
    </row>
    <row r="357">
      <c r="A357" s="77" t="s">
        <v>4014</v>
      </c>
    </row>
    <row r="358">
      <c r="A358" s="77" t="s">
        <v>4014</v>
      </c>
    </row>
    <row r="359">
      <c r="A359" s="77" t="s">
        <v>4014</v>
      </c>
    </row>
    <row r="360">
      <c r="A360" s="77" t="s">
        <v>4014</v>
      </c>
    </row>
    <row r="361">
      <c r="A361" s="77" t="s">
        <v>4014</v>
      </c>
    </row>
    <row r="362">
      <c r="A362" s="77" t="s">
        <v>4014</v>
      </c>
    </row>
    <row r="363">
      <c r="A363" s="77" t="s">
        <v>4014</v>
      </c>
    </row>
    <row r="364">
      <c r="A364" s="77" t="s">
        <v>4014</v>
      </c>
    </row>
    <row r="365">
      <c r="A365" s="77" t="s">
        <v>4014</v>
      </c>
    </row>
    <row r="366">
      <c r="A366" s="77" t="s">
        <v>4014</v>
      </c>
    </row>
    <row r="367">
      <c r="A367" s="77" t="s">
        <v>4014</v>
      </c>
    </row>
    <row r="368">
      <c r="A368" s="77" t="s">
        <v>4014</v>
      </c>
    </row>
    <row r="369">
      <c r="A369" s="77" t="s">
        <v>4014</v>
      </c>
    </row>
    <row r="370">
      <c r="A370" s="77" t="s">
        <v>4014</v>
      </c>
    </row>
    <row r="371">
      <c r="A371" s="77" t="s">
        <v>4014</v>
      </c>
    </row>
    <row r="372">
      <c r="A372" s="77" t="s">
        <v>4014</v>
      </c>
    </row>
    <row r="373">
      <c r="A373" s="77" t="s">
        <v>4014</v>
      </c>
    </row>
    <row r="374">
      <c r="A374" s="77" t="s">
        <v>4014</v>
      </c>
    </row>
    <row r="375">
      <c r="A375" s="77" t="s">
        <v>4014</v>
      </c>
    </row>
    <row r="376">
      <c r="A376" s="77" t="s">
        <v>4014</v>
      </c>
    </row>
    <row r="377">
      <c r="A377" s="77" t="s">
        <v>4014</v>
      </c>
    </row>
    <row r="378">
      <c r="A378" s="77" t="s">
        <v>4014</v>
      </c>
    </row>
    <row r="379">
      <c r="A379" s="77" t="s">
        <v>4014</v>
      </c>
    </row>
    <row r="380">
      <c r="A380" s="77" t="s">
        <v>4014</v>
      </c>
    </row>
    <row r="381">
      <c r="A381" s="77" t="s">
        <v>4014</v>
      </c>
    </row>
    <row r="382">
      <c r="A382" s="77" t="s">
        <v>4014</v>
      </c>
    </row>
    <row r="383">
      <c r="A383" s="77" t="s">
        <v>4014</v>
      </c>
    </row>
    <row r="384">
      <c r="A384" s="77" t="s">
        <v>4014</v>
      </c>
    </row>
    <row r="385">
      <c r="A385" s="77" t="s">
        <v>4014</v>
      </c>
    </row>
    <row r="386">
      <c r="A386" s="77" t="s">
        <v>4014</v>
      </c>
    </row>
    <row r="387">
      <c r="A387" s="77" t="s">
        <v>4014</v>
      </c>
    </row>
    <row r="388">
      <c r="A388" s="77" t="s">
        <v>4014</v>
      </c>
    </row>
    <row r="389">
      <c r="A389" s="77" t="s">
        <v>4014</v>
      </c>
    </row>
    <row r="390">
      <c r="A390" s="77" t="s">
        <v>4014</v>
      </c>
    </row>
    <row r="391">
      <c r="A391" s="77" t="s">
        <v>4014</v>
      </c>
    </row>
    <row r="392">
      <c r="A392" s="77" t="s">
        <v>4014</v>
      </c>
    </row>
    <row r="393">
      <c r="A393" s="77" t="s">
        <v>4014</v>
      </c>
    </row>
    <row r="394">
      <c r="A394" s="77" t="s">
        <v>4014</v>
      </c>
    </row>
    <row r="395">
      <c r="A395" s="77" t="s">
        <v>4014</v>
      </c>
    </row>
    <row r="396">
      <c r="A396" s="77" t="s">
        <v>4014</v>
      </c>
    </row>
    <row r="397">
      <c r="A397" s="77" t="s">
        <v>4014</v>
      </c>
    </row>
    <row r="398">
      <c r="A398" s="77" t="s">
        <v>4014</v>
      </c>
    </row>
    <row r="399">
      <c r="A399" s="77" t="s">
        <v>4014</v>
      </c>
    </row>
    <row r="400">
      <c r="A400" s="77" t="s">
        <v>4014</v>
      </c>
    </row>
    <row r="401">
      <c r="A401" s="77" t="s">
        <v>4014</v>
      </c>
    </row>
    <row r="402">
      <c r="A402" s="77" t="s">
        <v>4014</v>
      </c>
    </row>
    <row r="403">
      <c r="A403" s="77" t="s">
        <v>4014</v>
      </c>
    </row>
    <row r="404">
      <c r="A404" s="77" t="s">
        <v>4014</v>
      </c>
    </row>
    <row r="405">
      <c r="A405" s="77" t="s">
        <v>4014</v>
      </c>
    </row>
    <row r="406">
      <c r="A406" s="77" t="s">
        <v>4014</v>
      </c>
    </row>
    <row r="407">
      <c r="A407" s="77" t="s">
        <v>4014</v>
      </c>
    </row>
    <row r="408">
      <c r="A408" s="77" t="s">
        <v>4014</v>
      </c>
    </row>
    <row r="409">
      <c r="A409" s="77" t="s">
        <v>4014</v>
      </c>
    </row>
    <row r="410">
      <c r="A410" s="77" t="s">
        <v>4014</v>
      </c>
    </row>
    <row r="411">
      <c r="A411" s="77" t="s">
        <v>4014</v>
      </c>
    </row>
    <row r="412">
      <c r="A412" s="77" t="s">
        <v>4014</v>
      </c>
    </row>
    <row r="413">
      <c r="A413" s="77" t="s">
        <v>4014</v>
      </c>
    </row>
    <row r="414">
      <c r="A414" s="77" t="s">
        <v>4014</v>
      </c>
    </row>
    <row r="415">
      <c r="A415" s="77" t="s">
        <v>4014</v>
      </c>
    </row>
    <row r="416">
      <c r="A416" s="77" t="s">
        <v>4014</v>
      </c>
    </row>
    <row r="417">
      <c r="A417" s="77" t="s">
        <v>4014</v>
      </c>
    </row>
    <row r="418">
      <c r="A418" s="77" t="s">
        <v>4014</v>
      </c>
    </row>
    <row r="419">
      <c r="A419" s="77" t="s">
        <v>4014</v>
      </c>
    </row>
    <row r="420">
      <c r="A420" s="77" t="s">
        <v>4014</v>
      </c>
    </row>
    <row r="421">
      <c r="A421" s="77" t="s">
        <v>4014</v>
      </c>
    </row>
    <row r="422">
      <c r="A422" s="77" t="s">
        <v>4014</v>
      </c>
    </row>
    <row r="423">
      <c r="A423" s="77" t="s">
        <v>4014</v>
      </c>
    </row>
    <row r="424">
      <c r="A424" s="77" t="s">
        <v>4014</v>
      </c>
    </row>
    <row r="425">
      <c r="A425" s="77" t="s">
        <v>4014</v>
      </c>
    </row>
    <row r="426">
      <c r="A426" s="77" t="s">
        <v>4014</v>
      </c>
    </row>
    <row r="427">
      <c r="A427" s="77" t="s">
        <v>4014</v>
      </c>
    </row>
    <row r="428">
      <c r="A428" s="77" t="s">
        <v>4014</v>
      </c>
    </row>
    <row r="429">
      <c r="A429" s="77" t="s">
        <v>4014</v>
      </c>
    </row>
    <row r="430">
      <c r="A430" s="77" t="s">
        <v>4014</v>
      </c>
    </row>
    <row r="431">
      <c r="A431" s="77" t="s">
        <v>4014</v>
      </c>
    </row>
    <row r="432">
      <c r="A432" s="77" t="s">
        <v>4014</v>
      </c>
    </row>
    <row r="433">
      <c r="A433" s="77" t="s">
        <v>4014</v>
      </c>
    </row>
    <row r="434">
      <c r="A434" s="77" t="s">
        <v>4014</v>
      </c>
    </row>
    <row r="435">
      <c r="A435" s="77" t="s">
        <v>4014</v>
      </c>
    </row>
    <row r="436">
      <c r="A436" s="77" t="s">
        <v>4014</v>
      </c>
    </row>
    <row r="437">
      <c r="A437" s="77" t="s">
        <v>4014</v>
      </c>
    </row>
    <row r="438">
      <c r="A438" s="77" t="s">
        <v>4014</v>
      </c>
    </row>
    <row r="439">
      <c r="A439" s="77" t="s">
        <v>4014</v>
      </c>
    </row>
    <row r="440">
      <c r="A440" s="77" t="s">
        <v>4014</v>
      </c>
    </row>
    <row r="441">
      <c r="A441" s="77" t="s">
        <v>4014</v>
      </c>
    </row>
    <row r="442">
      <c r="A442" s="77" t="s">
        <v>4014</v>
      </c>
    </row>
    <row r="443">
      <c r="A443" s="77" t="s">
        <v>4014</v>
      </c>
    </row>
    <row r="444">
      <c r="A444" s="77" t="s">
        <v>4014</v>
      </c>
    </row>
    <row r="445">
      <c r="A445" s="77" t="s">
        <v>4014</v>
      </c>
    </row>
    <row r="446">
      <c r="A446" s="77" t="s">
        <v>4014</v>
      </c>
    </row>
    <row r="447">
      <c r="A447" s="77" t="s">
        <v>4014</v>
      </c>
    </row>
    <row r="448">
      <c r="A448" s="77" t="s">
        <v>4014</v>
      </c>
    </row>
    <row r="449">
      <c r="A449" s="77" t="s">
        <v>4014</v>
      </c>
    </row>
    <row r="450">
      <c r="A450" s="77" t="s">
        <v>4014</v>
      </c>
    </row>
    <row r="451">
      <c r="A451" s="77" t="s">
        <v>4014</v>
      </c>
    </row>
    <row r="452">
      <c r="A452" s="77" t="s">
        <v>4014</v>
      </c>
    </row>
    <row r="453">
      <c r="A453" s="77" t="s">
        <v>4014</v>
      </c>
    </row>
    <row r="454">
      <c r="A454" s="77" t="s">
        <v>4014</v>
      </c>
    </row>
    <row r="455">
      <c r="A455" s="77" t="s">
        <v>4014</v>
      </c>
    </row>
    <row r="456">
      <c r="A456" s="77" t="s">
        <v>4014</v>
      </c>
    </row>
    <row r="457">
      <c r="A457" s="77" t="s">
        <v>4014</v>
      </c>
    </row>
    <row r="458">
      <c r="A458" s="77" t="s">
        <v>4014</v>
      </c>
    </row>
    <row r="459">
      <c r="A459" s="77" t="s">
        <v>4014</v>
      </c>
    </row>
    <row r="460">
      <c r="A460" s="77" t="s">
        <v>4014</v>
      </c>
    </row>
    <row r="461">
      <c r="A461" s="77" t="s">
        <v>4014</v>
      </c>
    </row>
    <row r="462">
      <c r="A462" s="77" t="s">
        <v>4014</v>
      </c>
    </row>
    <row r="463">
      <c r="A463" s="77" t="s">
        <v>4014</v>
      </c>
    </row>
    <row r="464">
      <c r="A464" s="77" t="s">
        <v>4014</v>
      </c>
    </row>
    <row r="465">
      <c r="A465" s="77" t="s">
        <v>4014</v>
      </c>
    </row>
    <row r="466">
      <c r="A466" s="77" t="s">
        <v>4014</v>
      </c>
    </row>
    <row r="467">
      <c r="A467" s="77" t="s">
        <v>4014</v>
      </c>
    </row>
    <row r="468">
      <c r="A468" s="77" t="s">
        <v>4014</v>
      </c>
    </row>
    <row r="469">
      <c r="A469" s="77" t="s">
        <v>4014</v>
      </c>
    </row>
    <row r="470">
      <c r="A470" s="77" t="s">
        <v>4014</v>
      </c>
    </row>
    <row r="471">
      <c r="A471" s="77" t="s">
        <v>4014</v>
      </c>
    </row>
    <row r="472">
      <c r="A472" s="77" t="s">
        <v>4014</v>
      </c>
    </row>
    <row r="473">
      <c r="A473" s="77" t="s">
        <v>4014</v>
      </c>
    </row>
    <row r="474">
      <c r="A474" s="77" t="s">
        <v>4014</v>
      </c>
    </row>
    <row r="475">
      <c r="A475" s="77" t="s">
        <v>4014</v>
      </c>
    </row>
    <row r="476">
      <c r="A476" s="77" t="s">
        <v>4014</v>
      </c>
    </row>
    <row r="477">
      <c r="A477" s="77" t="s">
        <v>4014</v>
      </c>
    </row>
    <row r="478">
      <c r="A478" s="77" t="s">
        <v>4014</v>
      </c>
    </row>
    <row r="479">
      <c r="A479" s="77" t="s">
        <v>4014</v>
      </c>
    </row>
    <row r="480">
      <c r="A480" s="77" t="s">
        <v>4014</v>
      </c>
    </row>
    <row r="481">
      <c r="A481" s="77" t="s">
        <v>4014</v>
      </c>
    </row>
    <row r="482">
      <c r="A482" s="77" t="s">
        <v>4014</v>
      </c>
    </row>
    <row r="483">
      <c r="A483" s="77" t="s">
        <v>4014</v>
      </c>
    </row>
    <row r="484">
      <c r="A484" s="77" t="s">
        <v>4014</v>
      </c>
    </row>
    <row r="485">
      <c r="A485" s="77" t="s">
        <v>4014</v>
      </c>
    </row>
    <row r="486">
      <c r="A486" s="77" t="s">
        <v>4014</v>
      </c>
    </row>
    <row r="487">
      <c r="A487" s="77" t="s">
        <v>4014</v>
      </c>
    </row>
    <row r="488">
      <c r="A488" s="77" t="s">
        <v>4014</v>
      </c>
    </row>
    <row r="489">
      <c r="A489" s="77" t="s">
        <v>4014</v>
      </c>
    </row>
    <row r="490">
      <c r="A490" s="77" t="s">
        <v>4014</v>
      </c>
    </row>
    <row r="491">
      <c r="A491" s="77" t="s">
        <v>4014</v>
      </c>
    </row>
    <row r="492">
      <c r="A492" s="77" t="s">
        <v>4014</v>
      </c>
    </row>
    <row r="493">
      <c r="A493" s="77" t="s">
        <v>4014</v>
      </c>
    </row>
    <row r="494">
      <c r="A494" s="77" t="s">
        <v>4014</v>
      </c>
    </row>
    <row r="495">
      <c r="A495" s="77" t="s">
        <v>4014</v>
      </c>
    </row>
    <row r="496">
      <c r="A496" s="77" t="s">
        <v>4014</v>
      </c>
    </row>
    <row r="497">
      <c r="A497" s="77" t="s">
        <v>4014</v>
      </c>
    </row>
    <row r="498">
      <c r="A498" s="77" t="s">
        <v>4014</v>
      </c>
    </row>
    <row r="499">
      <c r="A499" s="77" t="s">
        <v>4014</v>
      </c>
    </row>
    <row r="500">
      <c r="A500" s="77" t="s">
        <v>4014</v>
      </c>
    </row>
    <row r="501">
      <c r="A501" s="77" t="s">
        <v>4014</v>
      </c>
    </row>
    <row r="502">
      <c r="A502" s="77" t="s">
        <v>4014</v>
      </c>
    </row>
    <row r="503">
      <c r="A503" s="77" t="s">
        <v>4014</v>
      </c>
    </row>
    <row r="504">
      <c r="A504" s="77" t="s">
        <v>4014</v>
      </c>
    </row>
    <row r="505">
      <c r="A505" s="77" t="s">
        <v>4014</v>
      </c>
    </row>
    <row r="506">
      <c r="A506" s="77" t="s">
        <v>4014</v>
      </c>
    </row>
    <row r="507">
      <c r="A507" s="77" t="s">
        <v>4014</v>
      </c>
    </row>
    <row r="508">
      <c r="A508" s="77" t="s">
        <v>4014</v>
      </c>
    </row>
    <row r="509">
      <c r="A509" s="77" t="s">
        <v>4014</v>
      </c>
    </row>
    <row r="510">
      <c r="A510" s="77" t="s">
        <v>4014</v>
      </c>
    </row>
    <row r="511">
      <c r="A511" s="77" t="s">
        <v>4014</v>
      </c>
    </row>
    <row r="512">
      <c r="A512" s="77" t="s">
        <v>4014</v>
      </c>
    </row>
    <row r="513">
      <c r="A513" s="77" t="s">
        <v>4014</v>
      </c>
    </row>
    <row r="514">
      <c r="A514" s="77" t="s">
        <v>4014</v>
      </c>
    </row>
    <row r="515">
      <c r="A515" s="77" t="s">
        <v>4014</v>
      </c>
    </row>
    <row r="516">
      <c r="A516" s="77" t="s">
        <v>4014</v>
      </c>
    </row>
    <row r="517">
      <c r="A517" s="77" t="s">
        <v>4014</v>
      </c>
    </row>
    <row r="518">
      <c r="A518" s="77" t="s">
        <v>4014</v>
      </c>
    </row>
    <row r="519">
      <c r="A519" s="77" t="s">
        <v>4014</v>
      </c>
    </row>
    <row r="520">
      <c r="A520" s="77" t="s">
        <v>4014</v>
      </c>
    </row>
    <row r="521">
      <c r="A521" s="77" t="s">
        <v>4014</v>
      </c>
    </row>
    <row r="522">
      <c r="A522" s="77" t="s">
        <v>4014</v>
      </c>
    </row>
    <row r="523">
      <c r="A523" s="77" t="s">
        <v>4014</v>
      </c>
    </row>
    <row r="524">
      <c r="A524" s="77" t="s">
        <v>4014</v>
      </c>
    </row>
    <row r="525">
      <c r="A525" s="77" t="s">
        <v>4014</v>
      </c>
    </row>
    <row r="526">
      <c r="A526" s="77" t="s">
        <v>4014</v>
      </c>
    </row>
    <row r="527">
      <c r="A527" s="77" t="s">
        <v>4014</v>
      </c>
    </row>
    <row r="528">
      <c r="A528" s="77" t="s">
        <v>4014</v>
      </c>
    </row>
    <row r="529">
      <c r="A529" s="77" t="s">
        <v>4014</v>
      </c>
    </row>
    <row r="530">
      <c r="A530" s="77" t="s">
        <v>4014</v>
      </c>
    </row>
    <row r="531">
      <c r="A531" s="77" t="s">
        <v>4014</v>
      </c>
    </row>
    <row r="532">
      <c r="A532" s="77" t="s">
        <v>4014</v>
      </c>
    </row>
    <row r="533">
      <c r="A533" s="77" t="s">
        <v>4014</v>
      </c>
    </row>
    <row r="534">
      <c r="A534" s="77" t="s">
        <v>4014</v>
      </c>
    </row>
    <row r="535">
      <c r="A535" s="77" t="s">
        <v>4014</v>
      </c>
    </row>
    <row r="536">
      <c r="A536" s="77" t="s">
        <v>4014</v>
      </c>
    </row>
    <row r="537">
      <c r="A537" s="77" t="s">
        <v>4014</v>
      </c>
    </row>
    <row r="538">
      <c r="A538" s="77" t="s">
        <v>4014</v>
      </c>
    </row>
    <row r="539">
      <c r="A539" s="77" t="s">
        <v>4014</v>
      </c>
    </row>
    <row r="540">
      <c r="A540" s="77" t="s">
        <v>4014</v>
      </c>
    </row>
    <row r="541">
      <c r="A541" s="77" t="s">
        <v>4014</v>
      </c>
    </row>
    <row r="542">
      <c r="A542" s="77" t="s">
        <v>4014</v>
      </c>
    </row>
    <row r="543">
      <c r="A543" s="77" t="s">
        <v>4014</v>
      </c>
    </row>
    <row r="544">
      <c r="A544" s="77" t="s">
        <v>4014</v>
      </c>
    </row>
    <row r="545">
      <c r="A545" s="77" t="s">
        <v>4014</v>
      </c>
    </row>
    <row r="546">
      <c r="A546" s="77" t="s">
        <v>4014</v>
      </c>
    </row>
    <row r="547">
      <c r="A547" s="77" t="s">
        <v>4014</v>
      </c>
    </row>
    <row r="548">
      <c r="A548" s="77" t="s">
        <v>4014</v>
      </c>
    </row>
    <row r="549">
      <c r="A549" s="77" t="s">
        <v>4014</v>
      </c>
    </row>
    <row r="550">
      <c r="A550" s="77" t="s">
        <v>4014</v>
      </c>
    </row>
    <row r="551">
      <c r="A551" s="77" t="s">
        <v>4014</v>
      </c>
    </row>
    <row r="552">
      <c r="A552" s="77" t="s">
        <v>4014</v>
      </c>
    </row>
    <row r="553">
      <c r="A553" s="77" t="s">
        <v>4014</v>
      </c>
    </row>
    <row r="554">
      <c r="A554" s="77" t="s">
        <v>4014</v>
      </c>
    </row>
    <row r="555">
      <c r="A555" s="77" t="s">
        <v>4014</v>
      </c>
    </row>
    <row r="556">
      <c r="A556" s="77" t="s">
        <v>4014</v>
      </c>
    </row>
    <row r="557">
      <c r="A557" s="77" t="s">
        <v>4014</v>
      </c>
    </row>
    <row r="558">
      <c r="A558" s="77" t="s">
        <v>4014</v>
      </c>
    </row>
    <row r="559">
      <c r="A559" s="77" t="s">
        <v>4014</v>
      </c>
    </row>
    <row r="560">
      <c r="A560" s="77" t="s">
        <v>4014</v>
      </c>
    </row>
    <row r="561">
      <c r="A561" s="77" t="s">
        <v>4014</v>
      </c>
    </row>
    <row r="562">
      <c r="A562" s="77" t="s">
        <v>4014</v>
      </c>
    </row>
    <row r="563">
      <c r="A563" s="77" t="s">
        <v>4014</v>
      </c>
    </row>
    <row r="564">
      <c r="A564" s="77" t="s">
        <v>4014</v>
      </c>
    </row>
    <row r="565">
      <c r="A565" s="77" t="s">
        <v>4014</v>
      </c>
    </row>
    <row r="566">
      <c r="A566" s="77" t="s">
        <v>4014</v>
      </c>
    </row>
    <row r="567">
      <c r="A567" s="77" t="s">
        <v>4014</v>
      </c>
    </row>
    <row r="568">
      <c r="A568" s="77" t="s">
        <v>4014</v>
      </c>
    </row>
    <row r="569">
      <c r="A569" s="77" t="s">
        <v>4014</v>
      </c>
    </row>
    <row r="570">
      <c r="A570" s="77" t="s">
        <v>4014</v>
      </c>
    </row>
    <row r="571">
      <c r="A571" s="77" t="s">
        <v>4014</v>
      </c>
    </row>
    <row r="572">
      <c r="A572" s="77" t="s">
        <v>4014</v>
      </c>
    </row>
    <row r="573">
      <c r="A573" s="77" t="s">
        <v>4014</v>
      </c>
    </row>
    <row r="574">
      <c r="A574" s="77" t="s">
        <v>4014</v>
      </c>
    </row>
    <row r="575">
      <c r="A575" s="77" t="s">
        <v>4014</v>
      </c>
    </row>
    <row r="576">
      <c r="A576" s="77" t="s">
        <v>4014</v>
      </c>
    </row>
    <row r="577">
      <c r="A577" s="77" t="s">
        <v>4014</v>
      </c>
    </row>
    <row r="578">
      <c r="A578" s="77" t="s">
        <v>4014</v>
      </c>
    </row>
    <row r="579">
      <c r="A579" s="77" t="s">
        <v>4014</v>
      </c>
    </row>
    <row r="580">
      <c r="A580" s="77" t="s">
        <v>4014</v>
      </c>
    </row>
    <row r="581">
      <c r="A581" s="77" t="s">
        <v>4014</v>
      </c>
    </row>
    <row r="582">
      <c r="A582" s="77" t="s">
        <v>4014</v>
      </c>
    </row>
    <row r="583">
      <c r="A583" s="77" t="s">
        <v>4014</v>
      </c>
    </row>
    <row r="584">
      <c r="A584" s="77" t="s">
        <v>4014</v>
      </c>
    </row>
    <row r="585">
      <c r="A585" s="77" t="s">
        <v>4014</v>
      </c>
    </row>
    <row r="586">
      <c r="A586" s="77" t="s">
        <v>4014</v>
      </c>
    </row>
    <row r="587">
      <c r="A587" s="77" t="s">
        <v>4014</v>
      </c>
    </row>
    <row r="588">
      <c r="A588" s="77" t="s">
        <v>4014</v>
      </c>
    </row>
    <row r="589">
      <c r="A589" s="77" t="s">
        <v>4014</v>
      </c>
    </row>
    <row r="590">
      <c r="A590" s="77" t="s">
        <v>4014</v>
      </c>
    </row>
    <row r="591">
      <c r="A591" s="77" t="s">
        <v>4014</v>
      </c>
    </row>
    <row r="592">
      <c r="A592" s="77" t="s">
        <v>4014</v>
      </c>
    </row>
    <row r="593">
      <c r="A593" s="77" t="s">
        <v>4014</v>
      </c>
    </row>
    <row r="594">
      <c r="A594" s="77" t="s">
        <v>4014</v>
      </c>
    </row>
    <row r="595">
      <c r="A595" s="77" t="s">
        <v>4014</v>
      </c>
    </row>
    <row r="596">
      <c r="A596" s="77" t="s">
        <v>4014</v>
      </c>
    </row>
    <row r="597">
      <c r="A597" s="77" t="s">
        <v>4014</v>
      </c>
    </row>
    <row r="598">
      <c r="A598" s="77" t="s">
        <v>4014</v>
      </c>
    </row>
    <row r="599">
      <c r="A599" s="77" t="s">
        <v>4014</v>
      </c>
    </row>
    <row r="600">
      <c r="A600" s="77" t="s">
        <v>4014</v>
      </c>
    </row>
    <row r="601">
      <c r="A601" s="77" t="s">
        <v>4014</v>
      </c>
    </row>
    <row r="602">
      <c r="A602" s="77" t="s">
        <v>4014</v>
      </c>
    </row>
    <row r="603">
      <c r="A603" s="77" t="s">
        <v>4014</v>
      </c>
    </row>
    <row r="604">
      <c r="A604" s="77" t="s">
        <v>4014</v>
      </c>
    </row>
    <row r="605">
      <c r="A605" s="77" t="s">
        <v>4014</v>
      </c>
    </row>
    <row r="606">
      <c r="A606" s="77" t="s">
        <v>4014</v>
      </c>
    </row>
    <row r="607">
      <c r="A607" s="77" t="s">
        <v>4014</v>
      </c>
    </row>
    <row r="608">
      <c r="A608" s="77" t="s">
        <v>4014</v>
      </c>
    </row>
    <row r="609">
      <c r="A609" s="77" t="s">
        <v>4014</v>
      </c>
    </row>
    <row r="610">
      <c r="A610" s="77" t="s">
        <v>4014</v>
      </c>
    </row>
    <row r="611">
      <c r="A611" s="77" t="s">
        <v>4014</v>
      </c>
    </row>
    <row r="612">
      <c r="A612" s="77" t="s">
        <v>4014</v>
      </c>
    </row>
    <row r="613">
      <c r="A613" s="77" t="s">
        <v>4014</v>
      </c>
    </row>
    <row r="614">
      <c r="A614" s="77" t="s">
        <v>4014</v>
      </c>
    </row>
    <row r="615">
      <c r="A615" s="77" t="s">
        <v>4014</v>
      </c>
    </row>
    <row r="616">
      <c r="A616" s="77" t="s">
        <v>4014</v>
      </c>
    </row>
    <row r="617">
      <c r="A617" s="77" t="s">
        <v>4014</v>
      </c>
    </row>
    <row r="618">
      <c r="A618" s="77" t="s">
        <v>4014</v>
      </c>
    </row>
    <row r="619">
      <c r="A619" s="77" t="s">
        <v>4014</v>
      </c>
    </row>
    <row r="620">
      <c r="A620" s="77" t="s">
        <v>4014</v>
      </c>
    </row>
    <row r="621">
      <c r="A621" s="77" t="s">
        <v>4014</v>
      </c>
    </row>
    <row r="622">
      <c r="A622" s="77" t="s">
        <v>4014</v>
      </c>
    </row>
    <row r="623">
      <c r="A623" s="77" t="s">
        <v>4014</v>
      </c>
    </row>
    <row r="624">
      <c r="A624" s="77" t="s">
        <v>4014</v>
      </c>
    </row>
    <row r="625">
      <c r="A625" s="77" t="s">
        <v>4014</v>
      </c>
    </row>
    <row r="626">
      <c r="A626" s="77" t="s">
        <v>4014</v>
      </c>
    </row>
    <row r="627">
      <c r="A627" s="77" t="s">
        <v>4014</v>
      </c>
    </row>
    <row r="628">
      <c r="A628" s="77" t="s">
        <v>4014</v>
      </c>
    </row>
    <row r="629">
      <c r="A629" s="77" t="s">
        <v>4014</v>
      </c>
    </row>
    <row r="630">
      <c r="A630" s="77" t="s">
        <v>4014</v>
      </c>
    </row>
    <row r="631">
      <c r="A631" s="77" t="s">
        <v>4014</v>
      </c>
    </row>
    <row r="632">
      <c r="A632" s="77" t="s">
        <v>4014</v>
      </c>
    </row>
    <row r="633">
      <c r="A633" s="77" t="s">
        <v>4014</v>
      </c>
    </row>
    <row r="634">
      <c r="A634" s="77" t="s">
        <v>4014</v>
      </c>
    </row>
    <row r="635">
      <c r="A635" s="77" t="s">
        <v>4014</v>
      </c>
    </row>
    <row r="636">
      <c r="A636" s="77" t="s">
        <v>4014</v>
      </c>
    </row>
    <row r="637">
      <c r="A637" s="77" t="s">
        <v>4014</v>
      </c>
    </row>
    <row r="638">
      <c r="A638" s="77" t="s">
        <v>4014</v>
      </c>
    </row>
    <row r="639">
      <c r="A639" s="77" t="s">
        <v>4014</v>
      </c>
    </row>
    <row r="640">
      <c r="A640" s="77" t="s">
        <v>4014</v>
      </c>
    </row>
    <row r="641">
      <c r="A641" s="77" t="s">
        <v>4014</v>
      </c>
    </row>
    <row r="642">
      <c r="A642" s="77" t="s">
        <v>4014</v>
      </c>
    </row>
    <row r="643">
      <c r="A643" s="77" t="s">
        <v>4014</v>
      </c>
    </row>
    <row r="644">
      <c r="A644" s="77" t="s">
        <v>4014</v>
      </c>
    </row>
    <row r="645">
      <c r="A645" s="77" t="s">
        <v>4014</v>
      </c>
    </row>
    <row r="646">
      <c r="A646" s="77" t="s">
        <v>4014</v>
      </c>
    </row>
    <row r="647">
      <c r="A647" s="77" t="s">
        <v>4014</v>
      </c>
    </row>
    <row r="648">
      <c r="A648" s="77" t="s">
        <v>4014</v>
      </c>
    </row>
    <row r="649">
      <c r="A649" s="77" t="s">
        <v>4014</v>
      </c>
    </row>
    <row r="650">
      <c r="A650" s="77" t="s">
        <v>4014</v>
      </c>
    </row>
    <row r="651">
      <c r="A651" s="77" t="s">
        <v>4014</v>
      </c>
    </row>
    <row r="652">
      <c r="A652" s="77" t="s">
        <v>4014</v>
      </c>
    </row>
    <row r="653">
      <c r="A653" s="77" t="s">
        <v>4014</v>
      </c>
    </row>
    <row r="654">
      <c r="A654" s="77" t="s">
        <v>4014</v>
      </c>
    </row>
    <row r="655">
      <c r="A655" s="77" t="s">
        <v>4014</v>
      </c>
    </row>
    <row r="656">
      <c r="A656" s="77" t="s">
        <v>4014</v>
      </c>
    </row>
    <row r="657">
      <c r="A657" s="77" t="s">
        <v>4014</v>
      </c>
    </row>
    <row r="658">
      <c r="A658" s="77" t="s">
        <v>4014</v>
      </c>
    </row>
    <row r="659">
      <c r="A659" s="77" t="s">
        <v>4014</v>
      </c>
    </row>
    <row r="660">
      <c r="A660" s="77" t="s">
        <v>4014</v>
      </c>
    </row>
    <row r="661">
      <c r="A661" s="77" t="s">
        <v>4014</v>
      </c>
    </row>
    <row r="662">
      <c r="A662" s="77" t="s">
        <v>4014</v>
      </c>
    </row>
    <row r="663">
      <c r="A663" s="77" t="s">
        <v>4014</v>
      </c>
    </row>
    <row r="664">
      <c r="A664" s="77" t="s">
        <v>4014</v>
      </c>
    </row>
    <row r="665">
      <c r="A665" s="77" t="s">
        <v>4014</v>
      </c>
    </row>
    <row r="666">
      <c r="A666" s="77" t="s">
        <v>4014</v>
      </c>
    </row>
    <row r="667">
      <c r="A667" s="77" t="s">
        <v>4014</v>
      </c>
    </row>
    <row r="668">
      <c r="A668" s="77" t="s">
        <v>4014</v>
      </c>
    </row>
    <row r="669">
      <c r="A669" s="77" t="s">
        <v>4014</v>
      </c>
    </row>
    <row r="670">
      <c r="A670" s="77" t="s">
        <v>4014</v>
      </c>
    </row>
    <row r="671">
      <c r="A671" s="77" t="s">
        <v>4014</v>
      </c>
    </row>
    <row r="672">
      <c r="A672" s="77" t="s">
        <v>4014</v>
      </c>
    </row>
    <row r="673">
      <c r="A673" s="77" t="s">
        <v>4014</v>
      </c>
    </row>
    <row r="674">
      <c r="A674" s="77" t="s">
        <v>4014</v>
      </c>
    </row>
    <row r="675">
      <c r="A675" s="77" t="s">
        <v>4014</v>
      </c>
    </row>
    <row r="676">
      <c r="A676" s="77" t="s">
        <v>4014</v>
      </c>
    </row>
    <row r="677">
      <c r="A677" s="77" t="s">
        <v>4014</v>
      </c>
    </row>
    <row r="678">
      <c r="A678" s="77" t="s">
        <v>4014</v>
      </c>
    </row>
    <row r="679">
      <c r="A679" s="77" t="s">
        <v>4014</v>
      </c>
    </row>
    <row r="680">
      <c r="A680" s="77" t="s">
        <v>4014</v>
      </c>
    </row>
    <row r="681">
      <c r="A681" s="77" t="s">
        <v>4014</v>
      </c>
    </row>
    <row r="682">
      <c r="A682" s="77" t="s">
        <v>4014</v>
      </c>
    </row>
    <row r="683">
      <c r="A683" s="77" t="s">
        <v>4014</v>
      </c>
    </row>
    <row r="684">
      <c r="A684" s="77" t="s">
        <v>4014</v>
      </c>
    </row>
    <row r="685">
      <c r="A685" s="77" t="s">
        <v>4014</v>
      </c>
    </row>
    <row r="686">
      <c r="A686" s="77" t="s">
        <v>4014</v>
      </c>
    </row>
    <row r="687">
      <c r="A687" s="77" t="s">
        <v>4014</v>
      </c>
    </row>
    <row r="688">
      <c r="A688" s="77" t="s">
        <v>4014</v>
      </c>
    </row>
    <row r="689">
      <c r="A689" s="77" t="s">
        <v>4014</v>
      </c>
    </row>
    <row r="690">
      <c r="A690" s="77" t="s">
        <v>4014</v>
      </c>
    </row>
    <row r="691">
      <c r="A691" s="77" t="s">
        <v>4014</v>
      </c>
    </row>
    <row r="692">
      <c r="A692" s="77" t="s">
        <v>4014</v>
      </c>
    </row>
    <row r="693">
      <c r="A693" s="77" t="s">
        <v>4014</v>
      </c>
    </row>
    <row r="694">
      <c r="A694" s="77" t="s">
        <v>4014</v>
      </c>
    </row>
    <row r="695">
      <c r="A695" s="77" t="s">
        <v>4014</v>
      </c>
    </row>
    <row r="696">
      <c r="A696" s="77" t="s">
        <v>4014</v>
      </c>
    </row>
    <row r="697">
      <c r="A697" s="77" t="s">
        <v>4014</v>
      </c>
    </row>
    <row r="698">
      <c r="A698" s="77" t="s">
        <v>4014</v>
      </c>
    </row>
    <row r="699">
      <c r="A699" s="77" t="s">
        <v>4014</v>
      </c>
    </row>
    <row r="700">
      <c r="A700" s="77" t="s">
        <v>4014</v>
      </c>
    </row>
    <row r="701">
      <c r="A701" s="77" t="s">
        <v>4014</v>
      </c>
    </row>
    <row r="702">
      <c r="A702" s="77" t="s">
        <v>4014</v>
      </c>
    </row>
    <row r="703">
      <c r="A703" s="77" t="s">
        <v>4014</v>
      </c>
    </row>
    <row r="704">
      <c r="A704" s="77" t="s">
        <v>4014</v>
      </c>
    </row>
    <row r="705">
      <c r="A705" s="77" t="s">
        <v>4014</v>
      </c>
    </row>
    <row r="706">
      <c r="A706" s="77" t="s">
        <v>4014</v>
      </c>
    </row>
    <row r="707">
      <c r="A707" s="77" t="s">
        <v>4014</v>
      </c>
    </row>
    <row r="708">
      <c r="A708" s="77" t="s">
        <v>4014</v>
      </c>
    </row>
    <row r="709">
      <c r="A709" s="77" t="s">
        <v>4014</v>
      </c>
    </row>
    <row r="710">
      <c r="A710" s="77" t="s">
        <v>4014</v>
      </c>
    </row>
    <row r="711">
      <c r="A711" s="77" t="s">
        <v>4014</v>
      </c>
    </row>
    <row r="712">
      <c r="A712" s="77" t="s">
        <v>4014</v>
      </c>
    </row>
    <row r="713">
      <c r="A713" s="77" t="s">
        <v>4014</v>
      </c>
    </row>
    <row r="714">
      <c r="A714" s="77" t="s">
        <v>4014</v>
      </c>
    </row>
    <row r="715">
      <c r="A715" s="77" t="s">
        <v>4014</v>
      </c>
    </row>
    <row r="716">
      <c r="A716" s="77" t="s">
        <v>4014</v>
      </c>
    </row>
    <row r="717">
      <c r="A717" s="77" t="s">
        <v>4014</v>
      </c>
    </row>
    <row r="718">
      <c r="A718" s="77" t="s">
        <v>4014</v>
      </c>
    </row>
    <row r="719">
      <c r="A719" s="77" t="s">
        <v>4014</v>
      </c>
    </row>
    <row r="720">
      <c r="A720" s="77" t="s">
        <v>4014</v>
      </c>
    </row>
    <row r="721">
      <c r="A721" s="77" t="s">
        <v>4014</v>
      </c>
    </row>
    <row r="722">
      <c r="A722" s="77" t="s">
        <v>4014</v>
      </c>
    </row>
    <row r="723">
      <c r="A723" s="77" t="s">
        <v>4014</v>
      </c>
    </row>
    <row r="724">
      <c r="A724" s="77" t="s">
        <v>4014</v>
      </c>
    </row>
    <row r="725">
      <c r="A725" s="77" t="s">
        <v>4014</v>
      </c>
    </row>
    <row r="726">
      <c r="A726" s="77" t="s">
        <v>4014</v>
      </c>
    </row>
    <row r="727">
      <c r="A727" s="77" t="s">
        <v>4014</v>
      </c>
    </row>
    <row r="728">
      <c r="A728" s="77" t="s">
        <v>4014</v>
      </c>
    </row>
    <row r="729">
      <c r="A729" s="77" t="s">
        <v>4014</v>
      </c>
    </row>
    <row r="730">
      <c r="A730" s="77" t="s">
        <v>4014</v>
      </c>
    </row>
    <row r="731">
      <c r="A731" s="77" t="s">
        <v>4014</v>
      </c>
    </row>
    <row r="732">
      <c r="A732" s="77" t="s">
        <v>4014</v>
      </c>
    </row>
    <row r="733">
      <c r="A733" s="77" t="s">
        <v>4014</v>
      </c>
    </row>
    <row r="734">
      <c r="A734" s="77" t="s">
        <v>4014</v>
      </c>
    </row>
    <row r="735">
      <c r="A735" s="77" t="s">
        <v>4014</v>
      </c>
    </row>
    <row r="736">
      <c r="A736" s="77" t="s">
        <v>4014</v>
      </c>
    </row>
    <row r="737">
      <c r="A737" s="77" t="s">
        <v>4014</v>
      </c>
    </row>
    <row r="738">
      <c r="A738" s="77" t="s">
        <v>4014</v>
      </c>
    </row>
    <row r="739">
      <c r="A739" s="77" t="s">
        <v>4014</v>
      </c>
    </row>
    <row r="740">
      <c r="A740" s="77" t="s">
        <v>4014</v>
      </c>
    </row>
    <row r="741">
      <c r="A741" s="77" t="s">
        <v>4014</v>
      </c>
    </row>
    <row r="742">
      <c r="A742" s="77" t="s">
        <v>4014</v>
      </c>
    </row>
    <row r="743">
      <c r="A743" s="77" t="s">
        <v>4014</v>
      </c>
    </row>
    <row r="744">
      <c r="A744" s="77" t="s">
        <v>4014</v>
      </c>
    </row>
    <row r="745">
      <c r="A745" s="77" t="s">
        <v>4014</v>
      </c>
    </row>
    <row r="746">
      <c r="A746" s="77" t="s">
        <v>4014</v>
      </c>
    </row>
    <row r="747">
      <c r="A747" s="77" t="s">
        <v>4014</v>
      </c>
    </row>
    <row r="748">
      <c r="A748" s="77" t="s">
        <v>4014</v>
      </c>
    </row>
    <row r="749">
      <c r="A749" s="77" t="s">
        <v>4014</v>
      </c>
    </row>
    <row r="750">
      <c r="A750" s="77" t="s">
        <v>4014</v>
      </c>
    </row>
    <row r="751">
      <c r="A751" s="77" t="s">
        <v>4014</v>
      </c>
    </row>
    <row r="752">
      <c r="A752" s="77" t="s">
        <v>4014</v>
      </c>
    </row>
    <row r="753">
      <c r="A753" s="77" t="s">
        <v>4014</v>
      </c>
    </row>
    <row r="754">
      <c r="A754" s="77" t="s">
        <v>4014</v>
      </c>
    </row>
    <row r="755">
      <c r="A755" s="77" t="s">
        <v>4014</v>
      </c>
    </row>
    <row r="756">
      <c r="A756" s="77" t="s">
        <v>4014</v>
      </c>
    </row>
    <row r="757">
      <c r="A757" s="77" t="s">
        <v>4014</v>
      </c>
    </row>
    <row r="758">
      <c r="A758" s="77" t="s">
        <v>4014</v>
      </c>
    </row>
    <row r="759">
      <c r="A759" s="77" t="s">
        <v>4014</v>
      </c>
    </row>
    <row r="760">
      <c r="A760" s="77" t="s">
        <v>4014</v>
      </c>
    </row>
    <row r="761">
      <c r="A761" s="77" t="s">
        <v>4014</v>
      </c>
    </row>
    <row r="762">
      <c r="A762" s="77" t="s">
        <v>4014</v>
      </c>
    </row>
    <row r="763">
      <c r="A763" s="77" t="s">
        <v>4014</v>
      </c>
    </row>
    <row r="764">
      <c r="A764" s="77" t="s">
        <v>4014</v>
      </c>
    </row>
    <row r="765">
      <c r="A765" s="77" t="s">
        <v>4014</v>
      </c>
    </row>
    <row r="766">
      <c r="A766" s="77" t="s">
        <v>4014</v>
      </c>
    </row>
    <row r="767">
      <c r="A767" s="77" t="s">
        <v>4014</v>
      </c>
    </row>
    <row r="768">
      <c r="A768" s="77" t="s">
        <v>4014</v>
      </c>
    </row>
    <row r="769">
      <c r="A769" s="77" t="s">
        <v>4014</v>
      </c>
    </row>
    <row r="770">
      <c r="A770" s="77" t="s">
        <v>4014</v>
      </c>
    </row>
    <row r="771">
      <c r="A771" s="77" t="s">
        <v>4014</v>
      </c>
    </row>
    <row r="772">
      <c r="A772" s="77" t="s">
        <v>4014</v>
      </c>
    </row>
    <row r="773">
      <c r="A773" s="77" t="s">
        <v>4014</v>
      </c>
    </row>
    <row r="774">
      <c r="A774" s="77" t="s">
        <v>4014</v>
      </c>
    </row>
    <row r="775">
      <c r="A775" s="77" t="s">
        <v>4014</v>
      </c>
    </row>
    <row r="776">
      <c r="A776" s="77" t="s">
        <v>4014</v>
      </c>
    </row>
    <row r="777">
      <c r="A777" s="77" t="s">
        <v>4014</v>
      </c>
    </row>
    <row r="778">
      <c r="A778" s="77" t="s">
        <v>4014</v>
      </c>
    </row>
    <row r="779">
      <c r="A779" s="77" t="s">
        <v>4014</v>
      </c>
    </row>
    <row r="780">
      <c r="A780" s="77" t="s">
        <v>4014</v>
      </c>
    </row>
    <row r="781">
      <c r="A781" s="77" t="s">
        <v>4014</v>
      </c>
    </row>
    <row r="782">
      <c r="A782" s="77" t="s">
        <v>4014</v>
      </c>
    </row>
    <row r="783">
      <c r="A783" s="77" t="s">
        <v>4014</v>
      </c>
    </row>
    <row r="784">
      <c r="A784" s="77" t="s">
        <v>4014</v>
      </c>
    </row>
    <row r="785">
      <c r="A785" s="77" t="s">
        <v>4014</v>
      </c>
    </row>
    <row r="786">
      <c r="A786" s="77" t="s">
        <v>4014</v>
      </c>
    </row>
    <row r="787">
      <c r="A787" s="77" t="s">
        <v>4014</v>
      </c>
    </row>
    <row r="788">
      <c r="A788" s="77" t="s">
        <v>4014</v>
      </c>
    </row>
    <row r="789">
      <c r="A789" s="77" t="s">
        <v>4014</v>
      </c>
    </row>
    <row r="790">
      <c r="A790" s="77" t="s">
        <v>4014</v>
      </c>
    </row>
    <row r="791">
      <c r="A791" s="77" t="s">
        <v>4014</v>
      </c>
    </row>
    <row r="792">
      <c r="A792" s="77" t="s">
        <v>4014</v>
      </c>
    </row>
    <row r="793">
      <c r="A793" s="77" t="s">
        <v>4014</v>
      </c>
    </row>
    <row r="794">
      <c r="A794" s="77" t="s">
        <v>4014</v>
      </c>
    </row>
    <row r="795">
      <c r="A795" s="77" t="s">
        <v>4014</v>
      </c>
    </row>
    <row r="796">
      <c r="A796" s="77" t="s">
        <v>4014</v>
      </c>
    </row>
    <row r="797">
      <c r="A797" s="77" t="s">
        <v>4014</v>
      </c>
    </row>
    <row r="798">
      <c r="A798" s="77" t="s">
        <v>4014</v>
      </c>
    </row>
    <row r="799">
      <c r="A799" s="77" t="s">
        <v>4014</v>
      </c>
    </row>
    <row r="800">
      <c r="A800" s="77" t="s">
        <v>4014</v>
      </c>
    </row>
    <row r="801">
      <c r="A801" s="77" t="s">
        <v>4014</v>
      </c>
    </row>
    <row r="802">
      <c r="A802" s="77" t="s">
        <v>4014</v>
      </c>
    </row>
    <row r="803">
      <c r="A803" s="77" t="s">
        <v>4014</v>
      </c>
    </row>
    <row r="804">
      <c r="A804" s="77" t="s">
        <v>4014</v>
      </c>
    </row>
    <row r="805">
      <c r="A805" s="77" t="s">
        <v>4014</v>
      </c>
    </row>
    <row r="806">
      <c r="A806" s="77" t="s">
        <v>4014</v>
      </c>
    </row>
    <row r="807">
      <c r="A807" s="77" t="s">
        <v>4014</v>
      </c>
    </row>
    <row r="808">
      <c r="A808" s="77" t="s">
        <v>4014</v>
      </c>
    </row>
    <row r="809">
      <c r="A809" s="77" t="s">
        <v>4014</v>
      </c>
    </row>
    <row r="810">
      <c r="A810" s="77" t="s">
        <v>4014</v>
      </c>
    </row>
    <row r="811">
      <c r="A811" s="77" t="s">
        <v>4014</v>
      </c>
    </row>
    <row r="812">
      <c r="A812" s="77" t="s">
        <v>4014</v>
      </c>
    </row>
    <row r="813">
      <c r="A813" s="77" t="s">
        <v>4014</v>
      </c>
    </row>
    <row r="814">
      <c r="A814" s="77" t="s">
        <v>4014</v>
      </c>
    </row>
    <row r="815">
      <c r="A815" s="77" t="s">
        <v>4014</v>
      </c>
    </row>
    <row r="816">
      <c r="A816" s="77" t="s">
        <v>4014</v>
      </c>
    </row>
    <row r="817">
      <c r="A817" s="77" t="s">
        <v>4014</v>
      </c>
    </row>
    <row r="818">
      <c r="A818" s="77" t="s">
        <v>4014</v>
      </c>
    </row>
    <row r="819">
      <c r="A819" s="77" t="s">
        <v>4014</v>
      </c>
    </row>
    <row r="820">
      <c r="A820" s="77" t="s">
        <v>4014</v>
      </c>
    </row>
    <row r="821">
      <c r="A821" s="77" t="s">
        <v>4014</v>
      </c>
    </row>
    <row r="822">
      <c r="A822" s="77" t="s">
        <v>4014</v>
      </c>
    </row>
    <row r="823">
      <c r="A823" s="77" t="s">
        <v>4014</v>
      </c>
    </row>
    <row r="824">
      <c r="A824" s="77" t="s">
        <v>4014</v>
      </c>
    </row>
    <row r="825">
      <c r="A825" s="77" t="s">
        <v>4014</v>
      </c>
    </row>
    <row r="826">
      <c r="A826" s="77" t="s">
        <v>4014</v>
      </c>
    </row>
    <row r="827">
      <c r="A827" s="77" t="s">
        <v>4014</v>
      </c>
    </row>
    <row r="828">
      <c r="A828" s="77" t="s">
        <v>4014</v>
      </c>
    </row>
    <row r="829">
      <c r="A829" s="77" t="s">
        <v>4014</v>
      </c>
    </row>
    <row r="830">
      <c r="A830" s="77" t="s">
        <v>4014</v>
      </c>
    </row>
    <row r="831">
      <c r="A831" s="77" t="s">
        <v>4014</v>
      </c>
    </row>
    <row r="832">
      <c r="A832" s="77" t="s">
        <v>4014</v>
      </c>
    </row>
    <row r="833">
      <c r="A833" s="77" t="s">
        <v>4014</v>
      </c>
    </row>
    <row r="834">
      <c r="A834" s="77" t="s">
        <v>4014</v>
      </c>
    </row>
    <row r="835">
      <c r="A835" s="77" t="s">
        <v>4014</v>
      </c>
    </row>
    <row r="836">
      <c r="A836" s="77" t="s">
        <v>4014</v>
      </c>
    </row>
    <row r="837">
      <c r="A837" s="77" t="s">
        <v>4014</v>
      </c>
    </row>
    <row r="838">
      <c r="A838" s="77" t="s">
        <v>4014</v>
      </c>
    </row>
    <row r="839">
      <c r="A839" s="77" t="s">
        <v>4014</v>
      </c>
    </row>
    <row r="840">
      <c r="A840" s="77" t="s">
        <v>4014</v>
      </c>
    </row>
    <row r="841">
      <c r="A841" s="77" t="s">
        <v>4014</v>
      </c>
    </row>
    <row r="842">
      <c r="A842" s="77" t="s">
        <v>4014</v>
      </c>
    </row>
    <row r="843">
      <c r="A843" s="77" t="s">
        <v>4014</v>
      </c>
    </row>
    <row r="844">
      <c r="A844" s="77" t="s">
        <v>4014</v>
      </c>
    </row>
    <row r="845">
      <c r="A845" s="77" t="s">
        <v>4014</v>
      </c>
    </row>
    <row r="846">
      <c r="A846" s="77" t="s">
        <v>4014</v>
      </c>
    </row>
    <row r="847">
      <c r="A847" s="77" t="s">
        <v>4014</v>
      </c>
    </row>
    <row r="848">
      <c r="A848" s="77" t="s">
        <v>4014</v>
      </c>
    </row>
    <row r="849">
      <c r="A849" s="77" t="s">
        <v>4014</v>
      </c>
    </row>
    <row r="850">
      <c r="A850" s="77" t="s">
        <v>4014</v>
      </c>
    </row>
    <row r="851">
      <c r="A851" s="77" t="s">
        <v>4014</v>
      </c>
    </row>
    <row r="852">
      <c r="A852" s="77" t="s">
        <v>4014</v>
      </c>
    </row>
    <row r="853">
      <c r="A853" s="77" t="s">
        <v>4014</v>
      </c>
    </row>
    <row r="854">
      <c r="A854" s="77" t="s">
        <v>4014</v>
      </c>
    </row>
    <row r="855">
      <c r="A855" s="77" t="s">
        <v>4014</v>
      </c>
    </row>
    <row r="856">
      <c r="A856" s="77" t="s">
        <v>4014</v>
      </c>
    </row>
    <row r="857">
      <c r="A857" s="77" t="s">
        <v>4014</v>
      </c>
    </row>
    <row r="858">
      <c r="A858" s="77" t="s">
        <v>4014</v>
      </c>
    </row>
    <row r="859">
      <c r="A859" s="77" t="s">
        <v>4014</v>
      </c>
    </row>
    <row r="860">
      <c r="A860" s="77" t="s">
        <v>4014</v>
      </c>
    </row>
    <row r="861">
      <c r="A861" s="77" t="s">
        <v>4014</v>
      </c>
    </row>
    <row r="862">
      <c r="A862" s="77" t="s">
        <v>4014</v>
      </c>
    </row>
    <row r="863">
      <c r="A863" s="77" t="s">
        <v>4014</v>
      </c>
    </row>
    <row r="864">
      <c r="A864" s="77" t="s">
        <v>4014</v>
      </c>
    </row>
    <row r="865">
      <c r="A865" s="77" t="s">
        <v>4014</v>
      </c>
    </row>
    <row r="866">
      <c r="A866" s="77" t="s">
        <v>4014</v>
      </c>
    </row>
    <row r="867">
      <c r="A867" s="77" t="s">
        <v>4014</v>
      </c>
    </row>
    <row r="868">
      <c r="A868" s="77" t="s">
        <v>4014</v>
      </c>
    </row>
    <row r="869">
      <c r="A869" s="77" t="s">
        <v>4014</v>
      </c>
    </row>
    <row r="870">
      <c r="A870" s="77" t="s">
        <v>4014</v>
      </c>
    </row>
    <row r="871">
      <c r="A871" s="77" t="s">
        <v>4014</v>
      </c>
    </row>
    <row r="872">
      <c r="A872" s="77" t="s">
        <v>4014</v>
      </c>
    </row>
    <row r="873">
      <c r="A873" s="77" t="s">
        <v>4014</v>
      </c>
    </row>
    <row r="874">
      <c r="A874" s="77" t="s">
        <v>4014</v>
      </c>
    </row>
    <row r="875">
      <c r="A875" s="77" t="s">
        <v>4014</v>
      </c>
    </row>
    <row r="876">
      <c r="A876" s="77" t="s">
        <v>4014</v>
      </c>
    </row>
    <row r="877">
      <c r="A877" s="77" t="s">
        <v>4014</v>
      </c>
    </row>
    <row r="878">
      <c r="A878" s="77" t="s">
        <v>4014</v>
      </c>
    </row>
    <row r="879">
      <c r="A879" s="77" t="s">
        <v>4014</v>
      </c>
    </row>
    <row r="880">
      <c r="A880" s="77" t="s">
        <v>4014</v>
      </c>
    </row>
    <row r="881">
      <c r="A881" s="77" t="s">
        <v>4014</v>
      </c>
    </row>
    <row r="882">
      <c r="A882" s="77" t="s">
        <v>4014</v>
      </c>
    </row>
    <row r="883">
      <c r="A883" s="77" t="s">
        <v>4014</v>
      </c>
    </row>
    <row r="884">
      <c r="A884" s="77" t="s">
        <v>4014</v>
      </c>
    </row>
    <row r="885">
      <c r="A885" s="77" t="s">
        <v>4014</v>
      </c>
    </row>
    <row r="886">
      <c r="A886" s="77" t="s">
        <v>4014</v>
      </c>
    </row>
    <row r="887">
      <c r="A887" s="77" t="s">
        <v>4014</v>
      </c>
    </row>
    <row r="888">
      <c r="A888" s="77" t="s">
        <v>4014</v>
      </c>
    </row>
    <row r="889">
      <c r="A889" s="77" t="s">
        <v>4014</v>
      </c>
    </row>
    <row r="890">
      <c r="A890" s="77" t="s">
        <v>4014</v>
      </c>
    </row>
    <row r="891">
      <c r="A891" s="77" t="s">
        <v>4014</v>
      </c>
    </row>
    <row r="892">
      <c r="A892" s="77" t="s">
        <v>4014</v>
      </c>
    </row>
    <row r="893">
      <c r="A893" s="77" t="s">
        <v>4014</v>
      </c>
    </row>
    <row r="894">
      <c r="A894" s="77" t="s">
        <v>4014</v>
      </c>
    </row>
    <row r="895">
      <c r="A895" s="77" t="s">
        <v>4014</v>
      </c>
    </row>
    <row r="896">
      <c r="A896" s="77" t="s">
        <v>4014</v>
      </c>
    </row>
    <row r="897">
      <c r="A897" s="77" t="s">
        <v>4014</v>
      </c>
    </row>
    <row r="898">
      <c r="A898" s="77" t="s">
        <v>4014</v>
      </c>
    </row>
    <row r="899">
      <c r="A899" s="77" t="s">
        <v>4014</v>
      </c>
    </row>
    <row r="900">
      <c r="A900" s="77" t="s">
        <v>4014</v>
      </c>
    </row>
    <row r="901">
      <c r="A901" s="77" t="s">
        <v>4014</v>
      </c>
    </row>
    <row r="902">
      <c r="A902" s="77" t="s">
        <v>4014</v>
      </c>
    </row>
    <row r="903">
      <c r="A903" s="77" t="s">
        <v>4014</v>
      </c>
    </row>
    <row r="904">
      <c r="A904" s="77" t="s">
        <v>4014</v>
      </c>
    </row>
    <row r="905">
      <c r="A905" s="77" t="s">
        <v>4014</v>
      </c>
    </row>
    <row r="906">
      <c r="A906" s="77" t="s">
        <v>4014</v>
      </c>
    </row>
    <row r="907">
      <c r="A907" s="77" t="s">
        <v>4014</v>
      </c>
    </row>
    <row r="908">
      <c r="A908" s="77" t="s">
        <v>4014</v>
      </c>
    </row>
    <row r="909">
      <c r="A909" s="77" t="s">
        <v>4014</v>
      </c>
    </row>
    <row r="910">
      <c r="A910" s="77" t="s">
        <v>4014</v>
      </c>
    </row>
    <row r="911">
      <c r="A911" s="77" t="s">
        <v>4014</v>
      </c>
    </row>
    <row r="912">
      <c r="A912" s="77" t="s">
        <v>4014</v>
      </c>
    </row>
    <row r="913">
      <c r="A913" s="77" t="s">
        <v>4014</v>
      </c>
    </row>
    <row r="914">
      <c r="A914" s="77" t="s">
        <v>4014</v>
      </c>
    </row>
    <row r="915">
      <c r="A915" s="77" t="s">
        <v>4014</v>
      </c>
    </row>
    <row r="916">
      <c r="A916" s="77" t="s">
        <v>4014</v>
      </c>
    </row>
    <row r="917">
      <c r="A917" s="77" t="s">
        <v>4014</v>
      </c>
    </row>
    <row r="918">
      <c r="A918" s="77" t="s">
        <v>4014</v>
      </c>
    </row>
    <row r="919">
      <c r="A919" s="77" t="s">
        <v>4014</v>
      </c>
    </row>
    <row r="920">
      <c r="A920" s="77" t="s">
        <v>4014</v>
      </c>
    </row>
    <row r="921">
      <c r="A921" s="77" t="s">
        <v>4014</v>
      </c>
    </row>
    <row r="922">
      <c r="A922" s="77" t="s">
        <v>4014</v>
      </c>
    </row>
    <row r="923">
      <c r="A923" s="77" t="s">
        <v>4014</v>
      </c>
    </row>
    <row r="924">
      <c r="A924" s="77" t="s">
        <v>4014</v>
      </c>
    </row>
    <row r="925">
      <c r="A925" s="77" t="s">
        <v>4014</v>
      </c>
    </row>
    <row r="926">
      <c r="A926" s="77" t="s">
        <v>4014</v>
      </c>
    </row>
    <row r="927">
      <c r="A927" s="77" t="s">
        <v>4014</v>
      </c>
    </row>
    <row r="928">
      <c r="A928" s="77" t="s">
        <v>4014</v>
      </c>
    </row>
    <row r="929">
      <c r="A929" s="77" t="s">
        <v>4014</v>
      </c>
    </row>
    <row r="930">
      <c r="A930" s="77" t="s">
        <v>4014</v>
      </c>
    </row>
    <row r="931">
      <c r="A931" s="77" t="s">
        <v>4014</v>
      </c>
    </row>
    <row r="932">
      <c r="A932" s="77" t="s">
        <v>4014</v>
      </c>
    </row>
    <row r="933">
      <c r="A933" s="77" t="s">
        <v>4014</v>
      </c>
    </row>
    <row r="934">
      <c r="A934" s="77" t="s">
        <v>4014</v>
      </c>
    </row>
    <row r="935">
      <c r="A935" s="77" t="s">
        <v>4014</v>
      </c>
    </row>
    <row r="936">
      <c r="A936" s="77" t="s">
        <v>4014</v>
      </c>
    </row>
    <row r="937">
      <c r="A937" s="77" t="s">
        <v>4014</v>
      </c>
    </row>
    <row r="938">
      <c r="A938" s="77" t="s">
        <v>4014</v>
      </c>
    </row>
    <row r="939">
      <c r="A939" s="77" t="s">
        <v>4014</v>
      </c>
    </row>
    <row r="940">
      <c r="A940" s="77" t="s">
        <v>4014</v>
      </c>
    </row>
    <row r="941">
      <c r="A941" s="77" t="s">
        <v>4014</v>
      </c>
    </row>
    <row r="942">
      <c r="A942" s="77" t="s">
        <v>4014</v>
      </c>
    </row>
    <row r="943">
      <c r="A943" s="77" t="s">
        <v>4014</v>
      </c>
    </row>
    <row r="944">
      <c r="A944" s="77" t="s">
        <v>4014</v>
      </c>
    </row>
    <row r="945">
      <c r="A945" s="77" t="s">
        <v>4014</v>
      </c>
    </row>
    <row r="946">
      <c r="A946" s="77" t="s">
        <v>4014</v>
      </c>
    </row>
    <row r="947">
      <c r="A947" s="77" t="s">
        <v>4014</v>
      </c>
    </row>
    <row r="948">
      <c r="A948" s="77" t="s">
        <v>4014</v>
      </c>
    </row>
    <row r="949">
      <c r="A949" s="77" t="s">
        <v>4014</v>
      </c>
    </row>
    <row r="950">
      <c r="A950" s="77" t="s">
        <v>4014</v>
      </c>
    </row>
    <row r="951">
      <c r="A951" s="77" t="s">
        <v>4014</v>
      </c>
    </row>
    <row r="952">
      <c r="A952" s="77" t="s">
        <v>4014</v>
      </c>
    </row>
    <row r="953">
      <c r="A953" s="77" t="s">
        <v>4014</v>
      </c>
    </row>
    <row r="954">
      <c r="A954" s="77" t="s">
        <v>4014</v>
      </c>
    </row>
    <row r="955">
      <c r="A955" s="77" t="s">
        <v>4014</v>
      </c>
    </row>
    <row r="956">
      <c r="A956" s="77" t="s">
        <v>4014</v>
      </c>
    </row>
    <row r="957">
      <c r="A957" s="77" t="s">
        <v>4014</v>
      </c>
    </row>
    <row r="958">
      <c r="A958" s="77" t="s">
        <v>4014</v>
      </c>
    </row>
    <row r="959">
      <c r="A959" s="77" t="s">
        <v>4014</v>
      </c>
    </row>
    <row r="960">
      <c r="A960" s="77" t="s">
        <v>4014</v>
      </c>
    </row>
    <row r="961">
      <c r="A961" s="77" t="s">
        <v>4014</v>
      </c>
    </row>
    <row r="962">
      <c r="A962" s="77" t="s">
        <v>4014</v>
      </c>
    </row>
    <row r="963">
      <c r="A963" s="77" t="s">
        <v>4014</v>
      </c>
    </row>
    <row r="964">
      <c r="A964" s="77" t="s">
        <v>4014</v>
      </c>
    </row>
    <row r="965">
      <c r="A965" s="77" t="s">
        <v>4014</v>
      </c>
    </row>
    <row r="966">
      <c r="A966" s="77" t="s">
        <v>4014</v>
      </c>
    </row>
    <row r="967">
      <c r="A967" s="77" t="s">
        <v>4014</v>
      </c>
    </row>
    <row r="968">
      <c r="A968" s="77" t="s">
        <v>4014</v>
      </c>
    </row>
    <row r="969">
      <c r="A969" s="77" t="s">
        <v>4014</v>
      </c>
    </row>
    <row r="970">
      <c r="A970" s="77" t="s">
        <v>4014</v>
      </c>
    </row>
    <row r="971">
      <c r="A971" s="77" t="s">
        <v>4014</v>
      </c>
    </row>
    <row r="972">
      <c r="A972" s="77" t="s">
        <v>4014</v>
      </c>
    </row>
    <row r="973">
      <c r="A973" s="77" t="s">
        <v>4014</v>
      </c>
    </row>
    <row r="974">
      <c r="A974" s="77" t="s">
        <v>4014</v>
      </c>
    </row>
    <row r="975">
      <c r="A975" s="77" t="s">
        <v>4014</v>
      </c>
    </row>
    <row r="976">
      <c r="A976" s="77" t="s">
        <v>4014</v>
      </c>
    </row>
    <row r="977">
      <c r="A977" s="77" t="s">
        <v>4014</v>
      </c>
    </row>
    <row r="978">
      <c r="A978" s="77" t="s">
        <v>4014</v>
      </c>
    </row>
    <row r="979">
      <c r="A979" s="77" t="s">
        <v>4014</v>
      </c>
    </row>
    <row r="980">
      <c r="A980" s="77" t="s">
        <v>4014</v>
      </c>
    </row>
    <row r="981">
      <c r="A981" s="77" t="s">
        <v>4014</v>
      </c>
    </row>
    <row r="982">
      <c r="A982" s="77" t="s">
        <v>4014</v>
      </c>
    </row>
    <row r="983">
      <c r="A983" s="77" t="s">
        <v>4014</v>
      </c>
    </row>
    <row r="984">
      <c r="A984" s="77" t="s">
        <v>4014</v>
      </c>
    </row>
    <row r="985">
      <c r="A985" s="77" t="s">
        <v>4014</v>
      </c>
    </row>
    <row r="986">
      <c r="A986" s="77" t="s">
        <v>4014</v>
      </c>
    </row>
    <row r="987">
      <c r="A987" s="77" t="s">
        <v>4014</v>
      </c>
    </row>
    <row r="988">
      <c r="A988" s="77" t="s">
        <v>4014</v>
      </c>
    </row>
    <row r="989">
      <c r="A989" s="77" t="s">
        <v>4014</v>
      </c>
    </row>
    <row r="990">
      <c r="A990" s="77" t="s">
        <v>4014</v>
      </c>
    </row>
    <row r="991">
      <c r="A991" s="77" t="s">
        <v>4014</v>
      </c>
    </row>
    <row r="992">
      <c r="A992" s="77" t="s">
        <v>4014</v>
      </c>
    </row>
    <row r="993">
      <c r="A993" s="77" t="s">
        <v>4014</v>
      </c>
    </row>
    <row r="994">
      <c r="A994" s="77" t="s">
        <v>4014</v>
      </c>
    </row>
    <row r="995">
      <c r="A995" s="77" t="s">
        <v>4014</v>
      </c>
    </row>
    <row r="996">
      <c r="A996" s="77" t="s">
        <v>4014</v>
      </c>
    </row>
    <row r="997">
      <c r="A997" s="77" t="s">
        <v>4014</v>
      </c>
    </row>
    <row r="998">
      <c r="A998" s="77" t="s">
        <v>4014</v>
      </c>
    </row>
    <row r="999">
      <c r="A999" s="77" t="s">
        <v>4014</v>
      </c>
    </row>
    <row r="1000">
      <c r="A1000" s="77" t="s">
        <v>4014</v>
      </c>
    </row>
    <row r="1001">
      <c r="A1001" s="77" t="s">
        <v>4014</v>
      </c>
    </row>
    <row r="1002">
      <c r="A1002" s="77" t="s">
        <v>4014</v>
      </c>
    </row>
    <row r="1003">
      <c r="A1003" s="77" t="s">
        <v>4014</v>
      </c>
    </row>
    <row r="1004">
      <c r="A1004" s="77" t="s">
        <v>4014</v>
      </c>
    </row>
    <row r="1005">
      <c r="A1005" s="77" t="s">
        <v>4014</v>
      </c>
    </row>
    <row r="1006">
      <c r="A1006" s="77" t="s">
        <v>4014</v>
      </c>
    </row>
    <row r="1007">
      <c r="A1007" s="77" t="s">
        <v>4014</v>
      </c>
    </row>
    <row r="1008">
      <c r="A1008" s="77" t="s">
        <v>4014</v>
      </c>
    </row>
    <row r="1009">
      <c r="A1009" s="77" t="s">
        <v>4014</v>
      </c>
    </row>
    <row r="1010">
      <c r="A1010" s="77" t="s">
        <v>4014</v>
      </c>
    </row>
    <row r="1011">
      <c r="A1011" s="77" t="s">
        <v>4014</v>
      </c>
    </row>
    <row r="1012">
      <c r="A1012" s="77" t="s">
        <v>4014</v>
      </c>
    </row>
    <row r="1013">
      <c r="A1013" s="77" t="s">
        <v>4014</v>
      </c>
    </row>
    <row r="1014">
      <c r="A1014" s="77" t="s">
        <v>4014</v>
      </c>
    </row>
    <row r="1015">
      <c r="A1015" s="77" t="s">
        <v>4014</v>
      </c>
    </row>
    <row r="1016">
      <c r="A1016" s="77" t="s">
        <v>4014</v>
      </c>
    </row>
    <row r="1017">
      <c r="A1017" s="77" t="s">
        <v>4014</v>
      </c>
    </row>
    <row r="1018">
      <c r="A1018" s="77" t="s">
        <v>4014</v>
      </c>
    </row>
    <row r="1019">
      <c r="A1019" s="77" t="s">
        <v>4014</v>
      </c>
    </row>
    <row r="1020">
      <c r="A1020" s="77" t="s">
        <v>4014</v>
      </c>
    </row>
    <row r="1021">
      <c r="A1021" s="77" t="s">
        <v>4014</v>
      </c>
    </row>
    <row r="1022">
      <c r="A1022" s="77" t="s">
        <v>4014</v>
      </c>
    </row>
    <row r="1023">
      <c r="A1023" s="77" t="s">
        <v>4014</v>
      </c>
    </row>
    <row r="1024">
      <c r="A1024" s="77" t="s">
        <v>4014</v>
      </c>
    </row>
    <row r="1025">
      <c r="A1025" s="77" t="s">
        <v>4014</v>
      </c>
    </row>
    <row r="1026">
      <c r="A1026" s="77" t="s">
        <v>4014</v>
      </c>
    </row>
    <row r="1027">
      <c r="A1027" s="77" t="s">
        <v>4014</v>
      </c>
    </row>
    <row r="1028">
      <c r="A1028" s="77" t="s">
        <v>4014</v>
      </c>
    </row>
    <row r="1029">
      <c r="A1029" s="77" t="s">
        <v>4014</v>
      </c>
    </row>
    <row r="1030">
      <c r="A1030" s="77" t="s">
        <v>4014</v>
      </c>
    </row>
    <row r="1031">
      <c r="A1031" s="77" t="s">
        <v>4014</v>
      </c>
    </row>
    <row r="1032">
      <c r="A1032" s="77" t="s">
        <v>4014</v>
      </c>
    </row>
    <row r="1033">
      <c r="A1033" s="77" t="s">
        <v>4014</v>
      </c>
    </row>
    <row r="1034">
      <c r="A1034" s="77" t="s">
        <v>4014</v>
      </c>
    </row>
    <row r="1035">
      <c r="A1035" s="77" t="s">
        <v>4014</v>
      </c>
    </row>
    <row r="1036">
      <c r="A1036" s="77" t="s">
        <v>4014</v>
      </c>
    </row>
    <row r="1037">
      <c r="A1037" s="77" t="s">
        <v>4014</v>
      </c>
    </row>
    <row r="1038">
      <c r="A1038" s="77" t="s">
        <v>4014</v>
      </c>
    </row>
    <row r="1039">
      <c r="A1039" s="77" t="s">
        <v>4014</v>
      </c>
    </row>
    <row r="1040">
      <c r="A1040" s="77" t="s">
        <v>4014</v>
      </c>
    </row>
    <row r="1041">
      <c r="A1041" s="77" t="s">
        <v>4014</v>
      </c>
    </row>
    <row r="1042">
      <c r="A1042" s="77" t="s">
        <v>4014</v>
      </c>
    </row>
    <row r="1043">
      <c r="A1043" s="77" t="s">
        <v>4014</v>
      </c>
    </row>
    <row r="1044">
      <c r="A1044" s="77" t="s">
        <v>4014</v>
      </c>
    </row>
    <row r="1045">
      <c r="A1045" s="77" t="s">
        <v>4014</v>
      </c>
    </row>
    <row r="1046">
      <c r="A1046" s="77" t="s">
        <v>4014</v>
      </c>
    </row>
    <row r="1047">
      <c r="A1047" s="77" t="s">
        <v>4014</v>
      </c>
    </row>
    <row r="1048">
      <c r="A1048" s="77" t="s">
        <v>4014</v>
      </c>
    </row>
    <row r="1049">
      <c r="A1049" s="77" t="s">
        <v>4014</v>
      </c>
    </row>
    <row r="1050">
      <c r="A1050" s="77" t="s">
        <v>4014</v>
      </c>
    </row>
    <row r="1051">
      <c r="A1051" s="77" t="s">
        <v>4014</v>
      </c>
    </row>
    <row r="1052">
      <c r="A1052" s="77" t="s">
        <v>4014</v>
      </c>
    </row>
    <row r="1053">
      <c r="A1053" s="77" t="s">
        <v>4014</v>
      </c>
    </row>
    <row r="1054">
      <c r="A1054" s="77" t="s">
        <v>4014</v>
      </c>
    </row>
    <row r="1055">
      <c r="A1055" s="77" t="s">
        <v>4014</v>
      </c>
    </row>
    <row r="1056">
      <c r="A1056" s="77" t="s">
        <v>4014</v>
      </c>
    </row>
    <row r="1057">
      <c r="A1057" s="77" t="s">
        <v>4014</v>
      </c>
    </row>
    <row r="1058">
      <c r="A1058" s="77" t="s">
        <v>4014</v>
      </c>
    </row>
    <row r="1059">
      <c r="A1059" s="77" t="s">
        <v>4014</v>
      </c>
    </row>
    <row r="1060">
      <c r="A1060" s="77" t="s">
        <v>4014</v>
      </c>
    </row>
    <row r="1061">
      <c r="A1061" s="77" t="s">
        <v>4014</v>
      </c>
    </row>
    <row r="1062">
      <c r="A1062" s="77" t="s">
        <v>4014</v>
      </c>
    </row>
    <row r="1063">
      <c r="A1063" s="77" t="s">
        <v>4014</v>
      </c>
    </row>
    <row r="1064">
      <c r="A1064" s="77" t="s">
        <v>4014</v>
      </c>
    </row>
    <row r="1065">
      <c r="A1065" s="77" t="s">
        <v>4014</v>
      </c>
    </row>
    <row r="1066">
      <c r="A1066" s="77" t="s">
        <v>4014</v>
      </c>
    </row>
    <row r="1067">
      <c r="A1067" s="77" t="s">
        <v>4014</v>
      </c>
    </row>
    <row r="1068">
      <c r="A1068" s="77" t="s">
        <v>4014</v>
      </c>
    </row>
    <row r="1069">
      <c r="A1069" s="77" t="s">
        <v>4014</v>
      </c>
    </row>
    <row r="1070">
      <c r="A1070" s="77" t="s">
        <v>4014</v>
      </c>
    </row>
    <row r="1071">
      <c r="A1071" s="77" t="s">
        <v>4014</v>
      </c>
    </row>
    <row r="1072">
      <c r="A1072" s="77" t="s">
        <v>4014</v>
      </c>
    </row>
    <row r="1073">
      <c r="A1073" s="77" t="s">
        <v>4014</v>
      </c>
    </row>
    <row r="1074">
      <c r="A1074" s="77" t="s">
        <v>4014</v>
      </c>
    </row>
    <row r="1075">
      <c r="A1075" s="77" t="s">
        <v>4014</v>
      </c>
    </row>
    <row r="1076">
      <c r="A1076" s="77" t="s">
        <v>4014</v>
      </c>
    </row>
    <row r="1077">
      <c r="A1077" s="77" t="s">
        <v>4014</v>
      </c>
    </row>
    <row r="1078">
      <c r="A1078" s="77" t="s">
        <v>4014</v>
      </c>
    </row>
    <row r="1079">
      <c r="A1079" s="77" t="s">
        <v>4014</v>
      </c>
    </row>
    <row r="1080">
      <c r="A1080" s="77" t="s">
        <v>4014</v>
      </c>
    </row>
    <row r="1081">
      <c r="A1081" s="77" t="s">
        <v>4014</v>
      </c>
    </row>
    <row r="1082">
      <c r="A1082" s="77" t="s">
        <v>4014</v>
      </c>
    </row>
    <row r="1083">
      <c r="A1083" s="77" t="s">
        <v>4014</v>
      </c>
    </row>
    <row r="1084">
      <c r="A1084" s="77" t="s">
        <v>4014</v>
      </c>
    </row>
    <row r="1085">
      <c r="A1085" s="77" t="s">
        <v>4014</v>
      </c>
    </row>
    <row r="1086">
      <c r="A1086" s="77" t="s">
        <v>4014</v>
      </c>
    </row>
    <row r="1087">
      <c r="A1087" s="77" t="s">
        <v>4014</v>
      </c>
    </row>
    <row r="1088">
      <c r="A1088" s="77" t="s">
        <v>4014</v>
      </c>
    </row>
    <row r="1089">
      <c r="A1089" s="77" t="s">
        <v>4014</v>
      </c>
    </row>
    <row r="1090">
      <c r="A1090" s="77" t="s">
        <v>4014</v>
      </c>
    </row>
    <row r="1091">
      <c r="A1091" s="77" t="s">
        <v>4014</v>
      </c>
    </row>
    <row r="1092">
      <c r="A1092" s="77" t="s">
        <v>4014</v>
      </c>
    </row>
    <row r="1093">
      <c r="A1093" s="77" t="s">
        <v>4014</v>
      </c>
    </row>
    <row r="1094">
      <c r="A1094" s="77" t="s">
        <v>4014</v>
      </c>
    </row>
    <row r="1095">
      <c r="A1095" s="77" t="s">
        <v>4014</v>
      </c>
    </row>
    <row r="1096">
      <c r="A1096" s="77" t="s">
        <v>4014</v>
      </c>
    </row>
    <row r="1097">
      <c r="A1097" s="77" t="s">
        <v>4014</v>
      </c>
    </row>
    <row r="1098">
      <c r="A1098" s="77" t="s">
        <v>4014</v>
      </c>
    </row>
    <row r="1099">
      <c r="A1099" s="77" t="s">
        <v>4014</v>
      </c>
    </row>
    <row r="1100">
      <c r="A1100" s="77" t="s">
        <v>4014</v>
      </c>
    </row>
    <row r="1101">
      <c r="A1101" s="77" t="s">
        <v>4014</v>
      </c>
    </row>
    <row r="1102">
      <c r="A1102" s="77" t="s">
        <v>4014</v>
      </c>
    </row>
    <row r="1103">
      <c r="A1103" s="77" t="s">
        <v>4014</v>
      </c>
    </row>
    <row r="1104">
      <c r="A1104" s="77" t="s">
        <v>4014</v>
      </c>
    </row>
    <row r="1105">
      <c r="A1105" s="77" t="s">
        <v>4014</v>
      </c>
    </row>
    <row r="1106">
      <c r="A1106" s="77" t="s">
        <v>4014</v>
      </c>
    </row>
    <row r="1107">
      <c r="A1107" s="77" t="s">
        <v>4014</v>
      </c>
    </row>
    <row r="1108">
      <c r="A1108" s="77" t="s">
        <v>4014</v>
      </c>
    </row>
    <row r="1109">
      <c r="A1109" s="77" t="s">
        <v>4014</v>
      </c>
    </row>
    <row r="1110">
      <c r="A1110" s="77" t="s">
        <v>4014</v>
      </c>
    </row>
    <row r="1111">
      <c r="A1111" s="77" t="s">
        <v>4014</v>
      </c>
    </row>
    <row r="1112">
      <c r="A1112" s="77" t="s">
        <v>4014</v>
      </c>
    </row>
    <row r="1113">
      <c r="A1113" s="77" t="s">
        <v>4014</v>
      </c>
    </row>
    <row r="1114">
      <c r="A1114" s="77" t="s">
        <v>4014</v>
      </c>
    </row>
    <row r="1115">
      <c r="A1115" s="77" t="s">
        <v>4014</v>
      </c>
    </row>
    <row r="1116">
      <c r="A1116" s="77" t="s">
        <v>4014</v>
      </c>
    </row>
    <row r="1117">
      <c r="A1117" s="77" t="s">
        <v>4014</v>
      </c>
    </row>
    <row r="1118">
      <c r="A1118" s="77" t="s">
        <v>4014</v>
      </c>
    </row>
    <row r="1119">
      <c r="A1119" s="77" t="s">
        <v>4014</v>
      </c>
    </row>
    <row r="1120">
      <c r="A1120" s="77" t="s">
        <v>4014</v>
      </c>
    </row>
    <row r="1121">
      <c r="A1121" s="77" t="s">
        <v>4014</v>
      </c>
    </row>
    <row r="1122">
      <c r="A1122" s="77" t="s">
        <v>4014</v>
      </c>
    </row>
    <row r="1123">
      <c r="A1123" s="77" t="s">
        <v>4014</v>
      </c>
    </row>
    <row r="1124">
      <c r="A1124" s="77" t="s">
        <v>4014</v>
      </c>
    </row>
    <row r="1125">
      <c r="A1125" s="77" t="s">
        <v>4014</v>
      </c>
    </row>
    <row r="1126">
      <c r="A1126" s="77" t="s">
        <v>4014</v>
      </c>
    </row>
    <row r="1127">
      <c r="A1127" s="77" t="s">
        <v>4014</v>
      </c>
    </row>
    <row r="1128">
      <c r="A1128" s="77" t="s">
        <v>4014</v>
      </c>
    </row>
    <row r="1129">
      <c r="A1129" s="77" t="s">
        <v>4014</v>
      </c>
    </row>
    <row r="1130">
      <c r="A1130" s="77" t="s">
        <v>4014</v>
      </c>
    </row>
    <row r="1131">
      <c r="A1131" s="77" t="s">
        <v>4014</v>
      </c>
    </row>
    <row r="1132">
      <c r="A1132" s="77" t="s">
        <v>4014</v>
      </c>
    </row>
    <row r="1133">
      <c r="A1133" s="77" t="s">
        <v>4014</v>
      </c>
    </row>
    <row r="1134">
      <c r="A1134" s="77" t="s">
        <v>4014</v>
      </c>
    </row>
    <row r="1135">
      <c r="A1135" s="77" t="s">
        <v>4014</v>
      </c>
    </row>
    <row r="1136">
      <c r="A1136" s="77" t="s">
        <v>4014</v>
      </c>
    </row>
    <row r="1137">
      <c r="A1137" s="77" t="s">
        <v>4014</v>
      </c>
    </row>
    <row r="1138">
      <c r="A1138" s="77" t="s">
        <v>4014</v>
      </c>
    </row>
    <row r="1139">
      <c r="A1139" s="77" t="s">
        <v>4014</v>
      </c>
    </row>
    <row r="1140">
      <c r="A1140" s="77" t="s">
        <v>4014</v>
      </c>
    </row>
    <row r="1141">
      <c r="A1141" s="77" t="s">
        <v>4014</v>
      </c>
    </row>
    <row r="1142">
      <c r="A1142" s="77" t="s">
        <v>4014</v>
      </c>
    </row>
    <row r="1143">
      <c r="A1143" s="77" t="s">
        <v>4014</v>
      </c>
    </row>
    <row r="1144">
      <c r="A1144" s="77" t="s">
        <v>4014</v>
      </c>
    </row>
    <row r="1145">
      <c r="A1145" s="77" t="s">
        <v>4014</v>
      </c>
    </row>
    <row r="1146">
      <c r="A1146" s="77" t="s">
        <v>4014</v>
      </c>
    </row>
    <row r="1147">
      <c r="A1147" s="77" t="s">
        <v>4014</v>
      </c>
    </row>
    <row r="1148">
      <c r="A1148" s="77" t="s">
        <v>4014</v>
      </c>
    </row>
    <row r="1149">
      <c r="A1149" s="77" t="s">
        <v>4014</v>
      </c>
    </row>
    <row r="1150">
      <c r="A1150" s="77" t="s">
        <v>4014</v>
      </c>
    </row>
    <row r="1151">
      <c r="A1151" s="77" t="s">
        <v>4014</v>
      </c>
    </row>
    <row r="1152">
      <c r="A1152" s="77" t="s">
        <v>4014</v>
      </c>
    </row>
    <row r="1153">
      <c r="A1153" s="77" t="s">
        <v>4014</v>
      </c>
    </row>
    <row r="1154">
      <c r="A1154" s="77" t="s">
        <v>4014</v>
      </c>
    </row>
    <row r="1155">
      <c r="A1155" s="77" t="s">
        <v>4014</v>
      </c>
    </row>
    <row r="1156">
      <c r="A1156" s="77" t="s">
        <v>4014</v>
      </c>
    </row>
    <row r="1157">
      <c r="A1157" s="77" t="s">
        <v>4014</v>
      </c>
    </row>
    <row r="1158">
      <c r="A1158" s="77" t="s">
        <v>4014</v>
      </c>
    </row>
    <row r="1159">
      <c r="A1159" s="77" t="s">
        <v>4014</v>
      </c>
    </row>
    <row r="1160">
      <c r="A1160" s="77" t="s">
        <v>4014</v>
      </c>
    </row>
    <row r="1161">
      <c r="A1161" s="77" t="s">
        <v>4014</v>
      </c>
    </row>
    <row r="1162">
      <c r="A1162" s="77" t="s">
        <v>4014</v>
      </c>
    </row>
    <row r="1163">
      <c r="A1163" s="77" t="s">
        <v>4014</v>
      </c>
    </row>
    <row r="1164">
      <c r="A1164" s="77" t="s">
        <v>4014</v>
      </c>
    </row>
    <row r="1165">
      <c r="A1165" s="77" t="s">
        <v>4014</v>
      </c>
    </row>
    <row r="1166">
      <c r="A1166" s="77" t="s">
        <v>4014</v>
      </c>
    </row>
    <row r="1167">
      <c r="A1167" s="77" t="s">
        <v>4014</v>
      </c>
    </row>
    <row r="1168">
      <c r="A1168" s="77" t="s">
        <v>4014</v>
      </c>
    </row>
    <row r="1169">
      <c r="A1169" s="77" t="s">
        <v>4014</v>
      </c>
    </row>
    <row r="1170">
      <c r="A1170" s="77" t="s">
        <v>4014</v>
      </c>
    </row>
    <row r="1171">
      <c r="A1171" s="77" t="s">
        <v>4014</v>
      </c>
    </row>
    <row r="1172">
      <c r="A1172" s="77" t="s">
        <v>4014</v>
      </c>
    </row>
    <row r="1173">
      <c r="A1173" s="77" t="s">
        <v>4014</v>
      </c>
    </row>
    <row r="1174">
      <c r="A1174" s="77" t="s">
        <v>4014</v>
      </c>
    </row>
    <row r="1175">
      <c r="A1175" s="77" t="s">
        <v>4014</v>
      </c>
    </row>
    <row r="1176">
      <c r="A1176" s="77" t="s">
        <v>4014</v>
      </c>
    </row>
    <row r="1177">
      <c r="A1177" s="77" t="s">
        <v>4014</v>
      </c>
    </row>
    <row r="1178">
      <c r="A1178" s="77" t="s">
        <v>4014</v>
      </c>
    </row>
    <row r="1179">
      <c r="A1179" s="77" t="s">
        <v>4014</v>
      </c>
    </row>
    <row r="1180">
      <c r="A1180" s="77" t="s">
        <v>4014</v>
      </c>
    </row>
    <row r="1181">
      <c r="A1181" s="77" t="s">
        <v>4014</v>
      </c>
    </row>
    <row r="1182">
      <c r="A1182" s="77" t="s">
        <v>4014</v>
      </c>
    </row>
    <row r="1183">
      <c r="A1183" s="77" t="s">
        <v>4014</v>
      </c>
    </row>
    <row r="1184">
      <c r="A1184" s="77" t="s">
        <v>4014</v>
      </c>
    </row>
    <row r="1185">
      <c r="A1185" s="77" t="s">
        <v>4014</v>
      </c>
    </row>
    <row r="1186">
      <c r="A1186" s="77" t="s">
        <v>4014</v>
      </c>
    </row>
    <row r="1187">
      <c r="A1187" s="77" t="s">
        <v>4014</v>
      </c>
    </row>
    <row r="1188">
      <c r="A1188" s="77" t="s">
        <v>4014</v>
      </c>
    </row>
    <row r="1189">
      <c r="A1189" s="77" t="s">
        <v>4014</v>
      </c>
    </row>
    <row r="1190">
      <c r="A1190" s="77" t="s">
        <v>4014</v>
      </c>
    </row>
    <row r="1191">
      <c r="A1191" s="77" t="s">
        <v>4014</v>
      </c>
    </row>
    <row r="1192">
      <c r="A1192" s="77" t="s">
        <v>4014</v>
      </c>
    </row>
    <row r="1193">
      <c r="A1193" s="77" t="s">
        <v>4014</v>
      </c>
    </row>
    <row r="1194">
      <c r="A1194" s="77" t="s">
        <v>4014</v>
      </c>
    </row>
    <row r="1195">
      <c r="A1195" s="77" t="s">
        <v>4014</v>
      </c>
    </row>
    <row r="1196">
      <c r="A1196" s="77" t="s">
        <v>4014</v>
      </c>
    </row>
    <row r="1197">
      <c r="A1197" s="77" t="s">
        <v>4014</v>
      </c>
    </row>
    <row r="1198">
      <c r="A1198" s="77" t="s">
        <v>4014</v>
      </c>
    </row>
    <row r="1199">
      <c r="A1199" s="77" t="s">
        <v>4014</v>
      </c>
    </row>
    <row r="1200">
      <c r="A1200" s="77" t="s">
        <v>4014</v>
      </c>
    </row>
    <row r="1201">
      <c r="A1201" s="77" t="s">
        <v>4014</v>
      </c>
    </row>
    <row r="1202">
      <c r="A1202" s="77" t="s">
        <v>4014</v>
      </c>
    </row>
    <row r="1203">
      <c r="A1203" s="77" t="s">
        <v>4014</v>
      </c>
    </row>
    <row r="1204">
      <c r="A1204" s="77" t="s">
        <v>4014</v>
      </c>
    </row>
    <row r="1205">
      <c r="A1205" s="77" t="s">
        <v>4014</v>
      </c>
    </row>
    <row r="1206">
      <c r="A1206" s="77" t="s">
        <v>4014</v>
      </c>
    </row>
    <row r="1207">
      <c r="A1207" s="77" t="s">
        <v>4014</v>
      </c>
    </row>
    <row r="1208">
      <c r="A1208" s="77" t="s">
        <v>4014</v>
      </c>
    </row>
    <row r="1209">
      <c r="A1209" s="77" t="s">
        <v>4014</v>
      </c>
    </row>
    <row r="1210">
      <c r="A1210" s="77" t="s">
        <v>4014</v>
      </c>
    </row>
    <row r="1211">
      <c r="A1211" s="77" t="s">
        <v>4014</v>
      </c>
    </row>
    <row r="1212">
      <c r="A1212" s="77" t="s">
        <v>4014</v>
      </c>
    </row>
    <row r="1213">
      <c r="A1213" s="77" t="s">
        <v>4014</v>
      </c>
    </row>
    <row r="1214">
      <c r="A1214" s="77" t="s">
        <v>4014</v>
      </c>
    </row>
    <row r="1215">
      <c r="A1215" s="77" t="s">
        <v>4014</v>
      </c>
    </row>
    <row r="1216">
      <c r="A1216" s="77" t="s">
        <v>4014</v>
      </c>
    </row>
    <row r="1217">
      <c r="A1217" s="77" t="s">
        <v>4014</v>
      </c>
    </row>
    <row r="1218">
      <c r="A1218" s="77" t="s">
        <v>4014</v>
      </c>
    </row>
    <row r="1219">
      <c r="A1219" s="77" t="s">
        <v>4014</v>
      </c>
    </row>
    <row r="1220">
      <c r="A1220" s="77" t="s">
        <v>4014</v>
      </c>
    </row>
    <row r="1221">
      <c r="A1221" s="77" t="s">
        <v>4014</v>
      </c>
    </row>
    <row r="1222">
      <c r="A1222" s="77" t="s">
        <v>4014</v>
      </c>
    </row>
    <row r="1223">
      <c r="A1223" s="77" t="s">
        <v>4014</v>
      </c>
    </row>
    <row r="1224">
      <c r="A1224" s="77" t="s">
        <v>4014</v>
      </c>
    </row>
    <row r="1225">
      <c r="A1225" s="77" t="s">
        <v>4014</v>
      </c>
    </row>
    <row r="1226">
      <c r="A1226" s="77" t="s">
        <v>4014</v>
      </c>
    </row>
    <row r="1227">
      <c r="A1227" s="77" t="s">
        <v>4014</v>
      </c>
    </row>
    <row r="1228">
      <c r="A1228" s="77" t="s">
        <v>4014</v>
      </c>
    </row>
    <row r="1229">
      <c r="A1229" s="77" t="s">
        <v>4014</v>
      </c>
    </row>
    <row r="1230">
      <c r="A1230" s="77" t="s">
        <v>4014</v>
      </c>
    </row>
    <row r="1231">
      <c r="A1231" s="77" t="s">
        <v>4014</v>
      </c>
    </row>
    <row r="1232">
      <c r="A1232" s="77" t="s">
        <v>4014</v>
      </c>
    </row>
    <row r="1233">
      <c r="A1233" s="77" t="s">
        <v>4014</v>
      </c>
    </row>
    <row r="1234">
      <c r="A1234" s="77" t="s">
        <v>4014</v>
      </c>
    </row>
    <row r="1235">
      <c r="A1235" s="77" t="s">
        <v>4014</v>
      </c>
    </row>
    <row r="1236">
      <c r="A1236" s="77" t="s">
        <v>4014</v>
      </c>
    </row>
    <row r="1237">
      <c r="A1237" s="77" t="s">
        <v>4014</v>
      </c>
    </row>
    <row r="1238">
      <c r="A1238" s="77" t="s">
        <v>4014</v>
      </c>
    </row>
    <row r="1239">
      <c r="A1239" s="77" t="s">
        <v>4014</v>
      </c>
    </row>
    <row r="1240">
      <c r="A1240" s="77" t="s">
        <v>4014</v>
      </c>
    </row>
    <row r="1241">
      <c r="A1241" s="77" t="s">
        <v>4014</v>
      </c>
    </row>
    <row r="1242">
      <c r="A1242" s="77" t="s">
        <v>4014</v>
      </c>
    </row>
    <row r="1243">
      <c r="A1243" s="77" t="s">
        <v>4014</v>
      </c>
    </row>
    <row r="1244">
      <c r="A1244" s="77" t="s">
        <v>4014</v>
      </c>
    </row>
    <row r="1245">
      <c r="A1245" s="77" t="s">
        <v>4014</v>
      </c>
    </row>
    <row r="1246">
      <c r="A1246" s="77" t="s">
        <v>4014</v>
      </c>
    </row>
    <row r="1247">
      <c r="A1247" s="77" t="s">
        <v>4014</v>
      </c>
    </row>
    <row r="1248">
      <c r="A1248" s="77" t="s">
        <v>4014</v>
      </c>
    </row>
    <row r="1249">
      <c r="A1249" s="77" t="s">
        <v>4014</v>
      </c>
    </row>
    <row r="1250">
      <c r="A1250" s="77" t="s">
        <v>4014</v>
      </c>
    </row>
    <row r="1251">
      <c r="A1251" s="77" t="s">
        <v>4014</v>
      </c>
    </row>
    <row r="1252">
      <c r="A1252" s="77" t="s">
        <v>4014</v>
      </c>
    </row>
    <row r="1253">
      <c r="A1253" s="77" t="s">
        <v>4014</v>
      </c>
    </row>
    <row r="1254">
      <c r="A1254" s="77" t="s">
        <v>4014</v>
      </c>
    </row>
    <row r="1255">
      <c r="A1255" s="77" t="s">
        <v>4014</v>
      </c>
    </row>
    <row r="1256">
      <c r="A1256" s="77" t="s">
        <v>4014</v>
      </c>
    </row>
    <row r="1257">
      <c r="A1257" s="77" t="s">
        <v>4014</v>
      </c>
    </row>
    <row r="1258">
      <c r="A1258" s="77" t="s">
        <v>4014</v>
      </c>
    </row>
    <row r="1259">
      <c r="A1259" s="77" t="s">
        <v>4014</v>
      </c>
    </row>
    <row r="1260">
      <c r="A1260" s="77" t="s">
        <v>4014</v>
      </c>
    </row>
    <row r="1261">
      <c r="A1261" s="77" t="s">
        <v>4014</v>
      </c>
    </row>
    <row r="1262">
      <c r="A1262" s="77" t="s">
        <v>4014</v>
      </c>
    </row>
    <row r="1263">
      <c r="A1263" s="77" t="s">
        <v>4014</v>
      </c>
    </row>
    <row r="1264">
      <c r="A1264" s="77" t="s">
        <v>4014</v>
      </c>
    </row>
    <row r="1265">
      <c r="A1265" s="77" t="s">
        <v>4014</v>
      </c>
    </row>
    <row r="1266">
      <c r="A1266" s="77" t="s">
        <v>4014</v>
      </c>
    </row>
    <row r="1267">
      <c r="A1267" s="77" t="s">
        <v>4014</v>
      </c>
    </row>
    <row r="1268">
      <c r="A1268" s="77" t="s">
        <v>4014</v>
      </c>
    </row>
    <row r="1269">
      <c r="A1269" s="77" t="s">
        <v>4014</v>
      </c>
    </row>
    <row r="1270">
      <c r="A1270" s="77" t="s">
        <v>4014</v>
      </c>
    </row>
    <row r="1271">
      <c r="A1271" s="77" t="s">
        <v>4014</v>
      </c>
    </row>
    <row r="1272">
      <c r="A1272" s="77" t="s">
        <v>4014</v>
      </c>
    </row>
    <row r="1273">
      <c r="A1273" s="77" t="s">
        <v>4014</v>
      </c>
    </row>
    <row r="1274">
      <c r="A1274" s="77" t="s">
        <v>4014</v>
      </c>
    </row>
    <row r="1275">
      <c r="A1275" s="77" t="s">
        <v>4014</v>
      </c>
    </row>
    <row r="1276">
      <c r="A1276" s="77" t="s">
        <v>4014</v>
      </c>
    </row>
    <row r="1277">
      <c r="A1277" s="77" t="s">
        <v>4014</v>
      </c>
    </row>
    <row r="1278">
      <c r="A1278" s="77" t="s">
        <v>4014</v>
      </c>
    </row>
    <row r="1279">
      <c r="A1279" s="77" t="s">
        <v>4014</v>
      </c>
    </row>
    <row r="1280">
      <c r="A1280" s="77" t="s">
        <v>4014</v>
      </c>
    </row>
    <row r="1281">
      <c r="A1281" s="77" t="s">
        <v>4014</v>
      </c>
    </row>
    <row r="1282">
      <c r="A1282" s="77" t="s">
        <v>4014</v>
      </c>
    </row>
    <row r="1283">
      <c r="A1283" s="77" t="s">
        <v>4014</v>
      </c>
    </row>
    <row r="1284">
      <c r="A1284" s="77" t="s">
        <v>4014</v>
      </c>
    </row>
    <row r="1285">
      <c r="A1285" s="77" t="s">
        <v>4014</v>
      </c>
    </row>
    <row r="1286">
      <c r="A1286" s="77" t="s">
        <v>4014</v>
      </c>
    </row>
    <row r="1287">
      <c r="A1287" s="77" t="s">
        <v>4014</v>
      </c>
    </row>
    <row r="1288">
      <c r="A1288" s="77" t="s">
        <v>4014</v>
      </c>
    </row>
    <row r="1289">
      <c r="A1289" s="77" t="s">
        <v>4014</v>
      </c>
    </row>
    <row r="1290">
      <c r="A1290" s="77" t="s">
        <v>4014</v>
      </c>
    </row>
    <row r="1291">
      <c r="A1291" s="77" t="s">
        <v>4014</v>
      </c>
    </row>
    <row r="1292">
      <c r="A1292" s="77" t="s">
        <v>4014</v>
      </c>
    </row>
    <row r="1293">
      <c r="A1293" s="77" t="s">
        <v>4014</v>
      </c>
    </row>
    <row r="1294">
      <c r="A1294" s="77" t="s">
        <v>4014</v>
      </c>
    </row>
    <row r="1295">
      <c r="A1295" s="77" t="s">
        <v>4014</v>
      </c>
    </row>
    <row r="1296">
      <c r="A1296" s="77" t="s">
        <v>4014</v>
      </c>
    </row>
    <row r="1297">
      <c r="A1297" s="77" t="s">
        <v>4014</v>
      </c>
    </row>
    <row r="1298">
      <c r="A1298" s="77" t="s">
        <v>4014</v>
      </c>
    </row>
    <row r="1299">
      <c r="A1299" s="77" t="s">
        <v>4014</v>
      </c>
    </row>
    <row r="1300">
      <c r="A1300" s="77" t="s">
        <v>4014</v>
      </c>
    </row>
    <row r="1301">
      <c r="A1301" s="77" t="s">
        <v>4014</v>
      </c>
    </row>
    <row r="1302">
      <c r="A1302" s="77" t="s">
        <v>4014</v>
      </c>
    </row>
    <row r="1303">
      <c r="A1303" s="77" t="s">
        <v>4014</v>
      </c>
    </row>
    <row r="1304">
      <c r="A1304" s="77" t="s">
        <v>4014</v>
      </c>
    </row>
    <row r="1305">
      <c r="A1305" s="77" t="s">
        <v>4014</v>
      </c>
    </row>
    <row r="1306">
      <c r="A1306" s="77" t="s">
        <v>4014</v>
      </c>
    </row>
    <row r="1307">
      <c r="A1307" s="77" t="s">
        <v>4014</v>
      </c>
    </row>
    <row r="1308">
      <c r="A1308" s="77" t="s">
        <v>4014</v>
      </c>
    </row>
    <row r="1309">
      <c r="A1309" s="77" t="s">
        <v>4014</v>
      </c>
    </row>
    <row r="1310">
      <c r="A1310" s="77" t="s">
        <v>4014</v>
      </c>
    </row>
    <row r="1311">
      <c r="A1311" s="77" t="s">
        <v>4014</v>
      </c>
    </row>
    <row r="1312">
      <c r="A1312" s="77" t="s">
        <v>4014</v>
      </c>
    </row>
    <row r="1313">
      <c r="A1313" s="77" t="s">
        <v>4014</v>
      </c>
    </row>
    <row r="1314">
      <c r="A1314" s="77" t="s">
        <v>4014</v>
      </c>
    </row>
    <row r="1315">
      <c r="A1315" s="77" t="s">
        <v>4014</v>
      </c>
    </row>
    <row r="1316">
      <c r="A1316" s="77" t="s">
        <v>4014</v>
      </c>
    </row>
    <row r="1317">
      <c r="A1317" s="77" t="s">
        <v>4014</v>
      </c>
    </row>
    <row r="1318">
      <c r="A1318" s="77" t="s">
        <v>4014</v>
      </c>
    </row>
    <row r="1319">
      <c r="A1319" s="77" t="s">
        <v>4014</v>
      </c>
    </row>
    <row r="1320">
      <c r="A1320" s="77" t="s">
        <v>4014</v>
      </c>
    </row>
    <row r="1321">
      <c r="A1321" s="77" t="s">
        <v>4014</v>
      </c>
    </row>
    <row r="1322">
      <c r="A1322" s="77" t="s">
        <v>4014</v>
      </c>
    </row>
    <row r="1323">
      <c r="A1323" s="77" t="s">
        <v>4014</v>
      </c>
    </row>
    <row r="1324">
      <c r="A1324" s="77" t="s">
        <v>4014</v>
      </c>
    </row>
    <row r="1325">
      <c r="A1325" s="77" t="s">
        <v>4014</v>
      </c>
    </row>
    <row r="1326">
      <c r="A1326" s="77" t="s">
        <v>4014</v>
      </c>
    </row>
    <row r="1327">
      <c r="A1327" s="77" t="s">
        <v>4014</v>
      </c>
    </row>
    <row r="1328">
      <c r="A1328" s="77" t="s">
        <v>4014</v>
      </c>
    </row>
    <row r="1329">
      <c r="A1329" s="77" t="s">
        <v>4014</v>
      </c>
    </row>
    <row r="1330">
      <c r="A1330" s="77" t="s">
        <v>4014</v>
      </c>
    </row>
    <row r="1331">
      <c r="A1331" s="77" t="s">
        <v>4014</v>
      </c>
    </row>
    <row r="1332">
      <c r="A1332" s="77" t="s">
        <v>4014</v>
      </c>
    </row>
    <row r="1333">
      <c r="A1333" s="77" t="s">
        <v>4014</v>
      </c>
    </row>
    <row r="1334">
      <c r="A1334" s="77" t="s">
        <v>4014</v>
      </c>
    </row>
    <row r="1335">
      <c r="A1335" s="77" t="s">
        <v>4014</v>
      </c>
    </row>
    <row r="1336">
      <c r="A1336" s="77" t="s">
        <v>4014</v>
      </c>
    </row>
    <row r="1337">
      <c r="A1337" s="77" t="s">
        <v>4014</v>
      </c>
    </row>
    <row r="1338">
      <c r="A1338" s="77" t="s">
        <v>4014</v>
      </c>
    </row>
    <row r="1339">
      <c r="A1339" s="77" t="s">
        <v>4014</v>
      </c>
    </row>
    <row r="1340">
      <c r="A1340" s="77" t="s">
        <v>4014</v>
      </c>
    </row>
    <row r="1341">
      <c r="A1341" s="77" t="s">
        <v>4014</v>
      </c>
    </row>
    <row r="1342">
      <c r="A1342" s="77" t="s">
        <v>4014</v>
      </c>
    </row>
    <row r="1343">
      <c r="A1343" s="77" t="s">
        <v>4014</v>
      </c>
    </row>
    <row r="1344">
      <c r="A1344" s="77" t="s">
        <v>4014</v>
      </c>
    </row>
    <row r="1345">
      <c r="A1345" s="77" t="s">
        <v>4014</v>
      </c>
    </row>
    <row r="1346">
      <c r="A1346" s="77" t="s">
        <v>4014</v>
      </c>
    </row>
    <row r="1347">
      <c r="A1347" s="77" t="s">
        <v>4014</v>
      </c>
    </row>
    <row r="1348">
      <c r="A1348" s="77" t="s">
        <v>4014</v>
      </c>
    </row>
    <row r="1349">
      <c r="A1349" s="77" t="s">
        <v>4014</v>
      </c>
    </row>
    <row r="1350">
      <c r="A1350" s="77" t="s">
        <v>4014</v>
      </c>
    </row>
    <row r="1351">
      <c r="A1351" s="77" t="s">
        <v>4014</v>
      </c>
    </row>
    <row r="1352">
      <c r="A1352" s="77" t="s">
        <v>4014</v>
      </c>
    </row>
    <row r="1353">
      <c r="A1353" s="77" t="s">
        <v>4014</v>
      </c>
    </row>
    <row r="1354">
      <c r="A1354" s="77" t="s">
        <v>4014</v>
      </c>
    </row>
    <row r="1355">
      <c r="A1355" s="77" t="s">
        <v>4014</v>
      </c>
    </row>
    <row r="1356">
      <c r="A1356" s="77" t="s">
        <v>4014</v>
      </c>
    </row>
    <row r="1357">
      <c r="A1357" s="77" t="s">
        <v>4014</v>
      </c>
    </row>
    <row r="1358">
      <c r="A1358" s="77" t="s">
        <v>4014</v>
      </c>
    </row>
    <row r="1359">
      <c r="A1359" s="77" t="s">
        <v>4014</v>
      </c>
    </row>
    <row r="1360">
      <c r="A1360" s="77" t="s">
        <v>4014</v>
      </c>
    </row>
    <row r="1361">
      <c r="A1361" s="77" t="s">
        <v>4014</v>
      </c>
    </row>
    <row r="1362">
      <c r="A1362" s="77" t="s">
        <v>4014</v>
      </c>
    </row>
    <row r="1363">
      <c r="A1363" s="77" t="s">
        <v>4014</v>
      </c>
    </row>
    <row r="1364">
      <c r="A1364" s="77" t="s">
        <v>4014</v>
      </c>
    </row>
    <row r="1365">
      <c r="A1365" s="77" t="s">
        <v>4014</v>
      </c>
    </row>
    <row r="1366">
      <c r="A1366" s="77" t="s">
        <v>4014</v>
      </c>
    </row>
    <row r="1367">
      <c r="A1367" s="77" t="s">
        <v>4014</v>
      </c>
    </row>
    <row r="1368">
      <c r="A1368" s="77" t="s">
        <v>4014</v>
      </c>
    </row>
    <row r="1369">
      <c r="A1369" s="77" t="s">
        <v>4014</v>
      </c>
    </row>
    <row r="1370">
      <c r="A1370" s="77" t="s">
        <v>4014</v>
      </c>
    </row>
    <row r="1371">
      <c r="A1371" s="77" t="s">
        <v>4014</v>
      </c>
    </row>
    <row r="1372">
      <c r="A1372" s="77" t="s">
        <v>4014</v>
      </c>
    </row>
    <row r="1373">
      <c r="A1373" s="77" t="s">
        <v>4014</v>
      </c>
    </row>
    <row r="1374">
      <c r="A1374" s="77" t="s">
        <v>4014</v>
      </c>
    </row>
    <row r="1375">
      <c r="A1375" s="77" t="s">
        <v>4014</v>
      </c>
    </row>
    <row r="1376">
      <c r="A1376" s="77" t="s">
        <v>4014</v>
      </c>
    </row>
    <row r="1377">
      <c r="A1377" s="77" t="s">
        <v>4014</v>
      </c>
    </row>
    <row r="1378">
      <c r="A1378" s="77" t="s">
        <v>4014</v>
      </c>
    </row>
    <row r="1379">
      <c r="A1379" s="77" t="s">
        <v>4014</v>
      </c>
    </row>
    <row r="1380">
      <c r="A1380" s="77" t="s">
        <v>4014</v>
      </c>
    </row>
    <row r="1381">
      <c r="A1381" s="77" t="s">
        <v>4014</v>
      </c>
    </row>
    <row r="1382">
      <c r="A1382" s="77" t="s">
        <v>4014</v>
      </c>
    </row>
    <row r="1383">
      <c r="A1383" s="77" t="s">
        <v>4014</v>
      </c>
    </row>
    <row r="1384">
      <c r="A1384" s="77" t="s">
        <v>4014</v>
      </c>
    </row>
    <row r="1385">
      <c r="A1385" s="77" t="s">
        <v>4014</v>
      </c>
    </row>
    <row r="1386">
      <c r="A1386" s="77" t="s">
        <v>4014</v>
      </c>
    </row>
    <row r="1387">
      <c r="A1387" s="77" t="s">
        <v>4014</v>
      </c>
    </row>
    <row r="1388">
      <c r="A1388" s="77" t="s">
        <v>4014</v>
      </c>
    </row>
    <row r="1389">
      <c r="A1389" s="77" t="s">
        <v>4014</v>
      </c>
    </row>
    <row r="1390">
      <c r="A1390" s="77" t="s">
        <v>4014</v>
      </c>
    </row>
    <row r="1391">
      <c r="A1391" s="77" t="s">
        <v>4014</v>
      </c>
    </row>
    <row r="1392">
      <c r="A1392" s="77" t="s">
        <v>4014</v>
      </c>
    </row>
    <row r="1393">
      <c r="A1393" s="77" t="s">
        <v>4014</v>
      </c>
    </row>
    <row r="1394">
      <c r="A1394" s="77" t="s">
        <v>4014</v>
      </c>
    </row>
    <row r="1395">
      <c r="A1395" s="77" t="s">
        <v>4014</v>
      </c>
    </row>
    <row r="1396">
      <c r="A1396" s="77" t="s">
        <v>4014</v>
      </c>
    </row>
    <row r="1397">
      <c r="A1397" s="77" t="s">
        <v>4014</v>
      </c>
    </row>
    <row r="1398">
      <c r="A1398" s="77" t="s">
        <v>4014</v>
      </c>
    </row>
    <row r="1399">
      <c r="A1399" s="77" t="s">
        <v>4014</v>
      </c>
    </row>
    <row r="1400">
      <c r="A1400" s="77" t="s">
        <v>4014</v>
      </c>
    </row>
    <row r="1401">
      <c r="A1401" s="77" t="s">
        <v>4014</v>
      </c>
    </row>
    <row r="1402">
      <c r="A1402" s="77" t="s">
        <v>4014</v>
      </c>
    </row>
    <row r="1403">
      <c r="A1403" s="77" t="s">
        <v>4014</v>
      </c>
    </row>
    <row r="1404">
      <c r="A1404" s="77" t="s">
        <v>4014</v>
      </c>
    </row>
    <row r="1405">
      <c r="A1405" s="77" t="s">
        <v>4014</v>
      </c>
    </row>
    <row r="1406">
      <c r="A1406" s="77" t="s">
        <v>4014</v>
      </c>
    </row>
    <row r="1407">
      <c r="A1407" s="77" t="s">
        <v>4014</v>
      </c>
    </row>
    <row r="1408">
      <c r="A1408" s="77" t="s">
        <v>4014</v>
      </c>
    </row>
    <row r="1409">
      <c r="A1409" s="77" t="s">
        <v>4014</v>
      </c>
    </row>
    <row r="1410">
      <c r="A1410" s="77" t="s">
        <v>4014</v>
      </c>
    </row>
    <row r="1411">
      <c r="A1411" s="77" t="s">
        <v>4014</v>
      </c>
    </row>
    <row r="1412">
      <c r="A1412" s="77" t="s">
        <v>4014</v>
      </c>
    </row>
    <row r="1413">
      <c r="A1413" s="77" t="s">
        <v>4014</v>
      </c>
    </row>
    <row r="1414">
      <c r="A1414" s="77" t="s">
        <v>4014</v>
      </c>
    </row>
    <row r="1415">
      <c r="A1415" s="77" t="s">
        <v>4014</v>
      </c>
    </row>
    <row r="1416">
      <c r="A1416" s="77" t="s">
        <v>4014</v>
      </c>
    </row>
    <row r="1417">
      <c r="A1417" s="77" t="s">
        <v>4014</v>
      </c>
    </row>
    <row r="1418">
      <c r="A1418" s="77" t="s">
        <v>4014</v>
      </c>
    </row>
    <row r="1419">
      <c r="A1419" s="77" t="s">
        <v>4014</v>
      </c>
    </row>
    <row r="1420">
      <c r="A1420" s="77" t="s">
        <v>4014</v>
      </c>
    </row>
    <row r="1421">
      <c r="A1421" s="77" t="s">
        <v>4014</v>
      </c>
    </row>
    <row r="1422">
      <c r="A1422" s="77" t="s">
        <v>4014</v>
      </c>
    </row>
    <row r="1423">
      <c r="A1423" s="77" t="s">
        <v>4014</v>
      </c>
    </row>
    <row r="1424">
      <c r="A1424" s="77" t="s">
        <v>4014</v>
      </c>
    </row>
    <row r="1425">
      <c r="A1425" s="77" t="s">
        <v>4014</v>
      </c>
    </row>
    <row r="1426">
      <c r="A1426" s="77" t="s">
        <v>4014</v>
      </c>
    </row>
    <row r="1427">
      <c r="A1427" s="77" t="s">
        <v>4014</v>
      </c>
    </row>
    <row r="1428">
      <c r="A1428" s="77" t="s">
        <v>4014</v>
      </c>
    </row>
    <row r="1429">
      <c r="A1429" s="77" t="s">
        <v>4014</v>
      </c>
    </row>
    <row r="1430">
      <c r="A1430" s="77" t="s">
        <v>4014</v>
      </c>
    </row>
    <row r="1431">
      <c r="A1431" s="77" t="s">
        <v>4014</v>
      </c>
    </row>
    <row r="1432">
      <c r="A1432" s="77" t="s">
        <v>4014</v>
      </c>
    </row>
    <row r="1433">
      <c r="A1433" s="77" t="s">
        <v>4014</v>
      </c>
    </row>
    <row r="1434">
      <c r="A1434" s="77" t="s">
        <v>4014</v>
      </c>
    </row>
    <row r="1435">
      <c r="A1435" s="77" t="s">
        <v>4014</v>
      </c>
    </row>
    <row r="1436">
      <c r="A1436" s="77" t="s">
        <v>4014</v>
      </c>
    </row>
    <row r="1437">
      <c r="A1437" s="77" t="s">
        <v>4014</v>
      </c>
    </row>
    <row r="1438">
      <c r="A1438" s="77" t="s">
        <v>4014</v>
      </c>
    </row>
    <row r="1439">
      <c r="A1439" s="77" t="s">
        <v>4014</v>
      </c>
    </row>
    <row r="1440">
      <c r="A1440" s="77" t="s">
        <v>4014</v>
      </c>
    </row>
    <row r="1441">
      <c r="A1441" s="77" t="s">
        <v>4014</v>
      </c>
    </row>
    <row r="1442">
      <c r="A1442" s="77" t="s">
        <v>4014</v>
      </c>
    </row>
    <row r="1443">
      <c r="A1443" s="77" t="s">
        <v>4014</v>
      </c>
    </row>
    <row r="1444">
      <c r="A1444" s="77" t="s">
        <v>4014</v>
      </c>
    </row>
    <row r="1445">
      <c r="A1445" s="77" t="s">
        <v>4014</v>
      </c>
    </row>
    <row r="1446">
      <c r="A1446" s="77" t="s">
        <v>4014</v>
      </c>
    </row>
    <row r="1447">
      <c r="A1447" s="77" t="s">
        <v>4014</v>
      </c>
    </row>
    <row r="1448">
      <c r="A1448" s="77" t="s">
        <v>4014</v>
      </c>
    </row>
    <row r="1449">
      <c r="A1449" s="77" t="s">
        <v>4014</v>
      </c>
    </row>
    <row r="1450">
      <c r="A1450" s="77" t="s">
        <v>4014</v>
      </c>
    </row>
    <row r="1451">
      <c r="A1451" s="77" t="s">
        <v>4014</v>
      </c>
    </row>
    <row r="1452">
      <c r="A1452" s="77" t="s">
        <v>4014</v>
      </c>
    </row>
    <row r="1453">
      <c r="A1453" s="77" t="s">
        <v>4014</v>
      </c>
    </row>
    <row r="1454">
      <c r="A1454" s="77" t="s">
        <v>4014</v>
      </c>
    </row>
    <row r="1455">
      <c r="A1455" s="77" t="s">
        <v>4014</v>
      </c>
    </row>
    <row r="1456">
      <c r="A1456" s="77" t="s">
        <v>4014</v>
      </c>
    </row>
    <row r="1457">
      <c r="A1457" s="77" t="s">
        <v>4014</v>
      </c>
    </row>
    <row r="1458">
      <c r="A1458" s="77" t="s">
        <v>4014</v>
      </c>
    </row>
    <row r="1459">
      <c r="A1459" s="77" t="s">
        <v>4014</v>
      </c>
    </row>
    <row r="1460">
      <c r="A1460" s="77" t="s">
        <v>4014</v>
      </c>
    </row>
    <row r="1461">
      <c r="A1461" s="77" t="s">
        <v>4014</v>
      </c>
    </row>
    <row r="1462">
      <c r="A1462" s="77" t="s">
        <v>4014</v>
      </c>
    </row>
    <row r="1463">
      <c r="A1463" s="77" t="s">
        <v>4014</v>
      </c>
    </row>
    <row r="1464">
      <c r="A1464" s="77" t="s">
        <v>4014</v>
      </c>
    </row>
    <row r="1465">
      <c r="A1465" s="77" t="s">
        <v>4014</v>
      </c>
    </row>
    <row r="1466">
      <c r="A1466" s="77" t="s">
        <v>4014</v>
      </c>
    </row>
    <row r="1467">
      <c r="A1467" s="77" t="s">
        <v>4014</v>
      </c>
    </row>
    <row r="1468">
      <c r="A1468" s="77" t="s">
        <v>4014</v>
      </c>
    </row>
    <row r="1469">
      <c r="A1469" s="77" t="s">
        <v>4014</v>
      </c>
    </row>
    <row r="1470">
      <c r="A1470" s="77" t="s">
        <v>4014</v>
      </c>
    </row>
    <row r="1471">
      <c r="A1471" s="77" t="s">
        <v>4014</v>
      </c>
    </row>
    <row r="1472">
      <c r="A1472" s="77" t="s">
        <v>4014</v>
      </c>
    </row>
    <row r="1473">
      <c r="A1473" s="77" t="s">
        <v>4014</v>
      </c>
    </row>
    <row r="1474">
      <c r="A1474" s="77" t="s">
        <v>4014</v>
      </c>
    </row>
    <row r="1475">
      <c r="A1475" s="77" t="s">
        <v>4014</v>
      </c>
    </row>
    <row r="1476">
      <c r="A1476" s="77" t="s">
        <v>4014</v>
      </c>
    </row>
    <row r="1477">
      <c r="A1477" s="77" t="s">
        <v>4014</v>
      </c>
    </row>
    <row r="1478">
      <c r="A1478" s="77" t="s">
        <v>4014</v>
      </c>
    </row>
    <row r="1479">
      <c r="A1479" s="77" t="s">
        <v>4014</v>
      </c>
    </row>
    <row r="1480">
      <c r="A1480" s="77" t="s">
        <v>4014</v>
      </c>
    </row>
    <row r="1481">
      <c r="A1481" s="77" t="s">
        <v>4014</v>
      </c>
    </row>
    <row r="1482">
      <c r="A1482" s="77" t="s">
        <v>4014</v>
      </c>
    </row>
    <row r="1483">
      <c r="A1483" s="77" t="s">
        <v>4014</v>
      </c>
    </row>
    <row r="1484">
      <c r="A1484" s="77" t="s">
        <v>4014</v>
      </c>
    </row>
    <row r="1485">
      <c r="A1485" s="77" t="s">
        <v>4014</v>
      </c>
    </row>
    <row r="1486">
      <c r="A1486" s="77" t="s">
        <v>4014</v>
      </c>
    </row>
    <row r="1487">
      <c r="A1487" s="77" t="s">
        <v>4014</v>
      </c>
    </row>
    <row r="1488">
      <c r="A1488" s="77" t="s">
        <v>4014</v>
      </c>
    </row>
    <row r="1489">
      <c r="A1489" s="77" t="s">
        <v>4014</v>
      </c>
    </row>
    <row r="1490">
      <c r="A1490" s="77" t="s">
        <v>4014</v>
      </c>
    </row>
    <row r="1491">
      <c r="A1491" s="77" t="s">
        <v>4014</v>
      </c>
    </row>
    <row r="1492">
      <c r="A1492" s="77" t="s">
        <v>4014</v>
      </c>
    </row>
    <row r="1493">
      <c r="A1493" s="77" t="s">
        <v>4014</v>
      </c>
    </row>
    <row r="1494">
      <c r="A1494" s="77" t="s">
        <v>4014</v>
      </c>
    </row>
    <row r="1495">
      <c r="A1495" s="77" t="s">
        <v>4014</v>
      </c>
    </row>
    <row r="1496">
      <c r="A1496" s="77" t="s">
        <v>4014</v>
      </c>
    </row>
    <row r="1497">
      <c r="A1497" s="77" t="s">
        <v>4014</v>
      </c>
    </row>
    <row r="1498">
      <c r="A1498" s="77" t="s">
        <v>4014</v>
      </c>
    </row>
    <row r="1499">
      <c r="A1499" s="77" t="s">
        <v>4014</v>
      </c>
    </row>
    <row r="1500">
      <c r="A1500" s="77" t="s">
        <v>4014</v>
      </c>
    </row>
    <row r="1501">
      <c r="A1501" s="77" t="s">
        <v>4014</v>
      </c>
    </row>
    <row r="1502">
      <c r="A1502" s="77" t="s">
        <v>4014</v>
      </c>
    </row>
    <row r="1503">
      <c r="A1503" s="77" t="s">
        <v>4014</v>
      </c>
    </row>
    <row r="1504">
      <c r="A1504" s="77" t="s">
        <v>4014</v>
      </c>
    </row>
    <row r="1505">
      <c r="A1505" s="77" t="s">
        <v>4014</v>
      </c>
    </row>
    <row r="1506">
      <c r="A1506" s="77" t="s">
        <v>4014</v>
      </c>
    </row>
    <row r="1507">
      <c r="A1507" s="77" t="s">
        <v>4014</v>
      </c>
    </row>
    <row r="1508">
      <c r="A1508" s="77" t="s">
        <v>4014</v>
      </c>
    </row>
    <row r="1509">
      <c r="A1509" s="77" t="s">
        <v>4014</v>
      </c>
    </row>
    <row r="1510">
      <c r="A1510" s="77" t="s">
        <v>4014</v>
      </c>
    </row>
    <row r="1511">
      <c r="A1511" s="77" t="s">
        <v>4014</v>
      </c>
    </row>
    <row r="1512">
      <c r="A1512" s="77" t="s">
        <v>4014</v>
      </c>
    </row>
    <row r="1513">
      <c r="A1513" s="77" t="s">
        <v>4014</v>
      </c>
    </row>
    <row r="1514">
      <c r="A1514" s="77" t="s">
        <v>4014</v>
      </c>
    </row>
    <row r="1515">
      <c r="A1515" s="77" t="s">
        <v>4014</v>
      </c>
    </row>
    <row r="1516">
      <c r="A1516" s="77" t="s">
        <v>4014</v>
      </c>
    </row>
    <row r="1517">
      <c r="A1517" s="77" t="s">
        <v>4014</v>
      </c>
    </row>
    <row r="1518">
      <c r="A1518" s="77" t="s">
        <v>4014</v>
      </c>
    </row>
    <row r="1519">
      <c r="A1519" s="77" t="s">
        <v>4014</v>
      </c>
    </row>
    <row r="1520">
      <c r="A1520" s="77" t="s">
        <v>4014</v>
      </c>
    </row>
    <row r="1521">
      <c r="A1521" s="77" t="s">
        <v>4014</v>
      </c>
    </row>
    <row r="1522">
      <c r="A1522" s="77" t="s">
        <v>4014</v>
      </c>
    </row>
    <row r="1523">
      <c r="A1523" s="77" t="s">
        <v>4014</v>
      </c>
    </row>
    <row r="1524">
      <c r="A1524" s="77" t="s">
        <v>4014</v>
      </c>
    </row>
    <row r="1525">
      <c r="A1525" s="77" t="s">
        <v>4014</v>
      </c>
    </row>
    <row r="1526">
      <c r="A1526" s="77" t="s">
        <v>4014</v>
      </c>
    </row>
    <row r="1527">
      <c r="A1527" s="77" t="s">
        <v>4014</v>
      </c>
    </row>
    <row r="1528">
      <c r="A1528" s="77" t="s">
        <v>4014</v>
      </c>
    </row>
    <row r="1529">
      <c r="A1529" s="77" t="s">
        <v>4014</v>
      </c>
    </row>
    <row r="1530">
      <c r="A1530" s="77" t="s">
        <v>4014</v>
      </c>
    </row>
    <row r="1531">
      <c r="A1531" s="77" t="s">
        <v>4014</v>
      </c>
    </row>
    <row r="1532">
      <c r="A1532" s="77" t="s">
        <v>4014</v>
      </c>
    </row>
    <row r="1533">
      <c r="A1533" s="77" t="s">
        <v>4014</v>
      </c>
    </row>
    <row r="1534">
      <c r="A1534" s="77" t="s">
        <v>4014</v>
      </c>
    </row>
    <row r="1535">
      <c r="A1535" s="77" t="s">
        <v>4014</v>
      </c>
    </row>
    <row r="1536">
      <c r="A1536" s="77" t="s">
        <v>4014</v>
      </c>
    </row>
    <row r="1537">
      <c r="A1537" s="77" t="s">
        <v>4014</v>
      </c>
    </row>
    <row r="1538">
      <c r="A1538" s="77" t="s">
        <v>4014</v>
      </c>
    </row>
    <row r="1539">
      <c r="A1539" s="77" t="s">
        <v>4014</v>
      </c>
    </row>
    <row r="1540">
      <c r="A1540" s="77" t="s">
        <v>4014</v>
      </c>
    </row>
    <row r="1541">
      <c r="A1541" s="77" t="s">
        <v>4014</v>
      </c>
    </row>
    <row r="1542">
      <c r="A1542" s="77" t="s">
        <v>4014</v>
      </c>
    </row>
    <row r="1543">
      <c r="A1543" s="77" t="s">
        <v>4014</v>
      </c>
    </row>
    <row r="1544">
      <c r="A1544" s="77" t="s">
        <v>4014</v>
      </c>
    </row>
    <row r="1545">
      <c r="A1545" s="77" t="s">
        <v>4014</v>
      </c>
    </row>
    <row r="1546">
      <c r="A1546" s="77" t="s">
        <v>4014</v>
      </c>
    </row>
    <row r="1547">
      <c r="A1547" s="77" t="s">
        <v>4014</v>
      </c>
    </row>
    <row r="1548">
      <c r="A1548" s="77" t="s">
        <v>4014</v>
      </c>
    </row>
    <row r="1549">
      <c r="A1549" s="77" t="s">
        <v>4014</v>
      </c>
    </row>
    <row r="1550">
      <c r="A1550" s="77" t="s">
        <v>4014</v>
      </c>
    </row>
    <row r="1551">
      <c r="A1551" s="77" t="s">
        <v>4014</v>
      </c>
    </row>
    <row r="1552">
      <c r="A1552" s="77" t="s">
        <v>4014</v>
      </c>
    </row>
    <row r="1553">
      <c r="A1553" s="77" t="s">
        <v>4014</v>
      </c>
    </row>
    <row r="1554">
      <c r="A1554" s="77" t="s">
        <v>4014</v>
      </c>
    </row>
    <row r="1555">
      <c r="A1555" s="77" t="s">
        <v>4014</v>
      </c>
    </row>
    <row r="1556">
      <c r="A1556" s="77" t="s">
        <v>4014</v>
      </c>
    </row>
    <row r="1557">
      <c r="A1557" s="77" t="s">
        <v>4014</v>
      </c>
    </row>
    <row r="1558">
      <c r="A1558" s="77" t="s">
        <v>4014</v>
      </c>
    </row>
    <row r="1559">
      <c r="A1559" s="77" t="s">
        <v>4014</v>
      </c>
    </row>
    <row r="1560">
      <c r="A1560" s="77" t="s">
        <v>4014</v>
      </c>
    </row>
    <row r="1561">
      <c r="A1561" s="77" t="s">
        <v>4014</v>
      </c>
    </row>
    <row r="1562">
      <c r="A1562" s="77" t="s">
        <v>4014</v>
      </c>
    </row>
    <row r="1563">
      <c r="A1563" s="77" t="s">
        <v>4014</v>
      </c>
    </row>
    <row r="1564">
      <c r="A1564" s="77" t="s">
        <v>4014</v>
      </c>
    </row>
    <row r="1565">
      <c r="A1565" s="77" t="s">
        <v>4014</v>
      </c>
    </row>
    <row r="1566">
      <c r="A1566" s="77" t="s">
        <v>4014</v>
      </c>
    </row>
    <row r="1567">
      <c r="A1567" s="77" t="s">
        <v>4014</v>
      </c>
    </row>
    <row r="1568">
      <c r="A1568" s="77" t="s">
        <v>4014</v>
      </c>
    </row>
    <row r="1569">
      <c r="A1569" s="77" t="s">
        <v>4014</v>
      </c>
    </row>
    <row r="1570">
      <c r="A1570" s="77" t="s">
        <v>4014</v>
      </c>
    </row>
    <row r="1571">
      <c r="A1571" s="77" t="s">
        <v>4014</v>
      </c>
    </row>
    <row r="1572">
      <c r="A1572" s="77" t="s">
        <v>4014</v>
      </c>
    </row>
    <row r="1573">
      <c r="A1573" s="77" t="s">
        <v>4014</v>
      </c>
    </row>
    <row r="1574">
      <c r="A1574" s="77" t="s">
        <v>4014</v>
      </c>
    </row>
    <row r="1575">
      <c r="A1575" s="77" t="s">
        <v>4014</v>
      </c>
    </row>
    <row r="1576">
      <c r="A1576" s="77" t="s">
        <v>4014</v>
      </c>
    </row>
    <row r="1577">
      <c r="A1577" s="77" t="s">
        <v>4014</v>
      </c>
    </row>
    <row r="1578">
      <c r="A1578" s="77" t="s">
        <v>4014</v>
      </c>
    </row>
    <row r="1579">
      <c r="A1579" s="77" t="s">
        <v>4014</v>
      </c>
    </row>
    <row r="1580">
      <c r="A1580" s="77" t="s">
        <v>4014</v>
      </c>
    </row>
    <row r="1581">
      <c r="A1581" s="77" t="s">
        <v>4014</v>
      </c>
    </row>
    <row r="1582">
      <c r="A1582" s="77" t="s">
        <v>4014</v>
      </c>
    </row>
    <row r="1583">
      <c r="A1583" s="77" t="s">
        <v>4014</v>
      </c>
    </row>
    <row r="1584">
      <c r="A1584" s="77" t="s">
        <v>4014</v>
      </c>
    </row>
    <row r="1585">
      <c r="A1585" s="77" t="s">
        <v>4014</v>
      </c>
    </row>
    <row r="1586">
      <c r="A1586" s="77" t="s">
        <v>4014</v>
      </c>
    </row>
    <row r="1587">
      <c r="A1587" s="77" t="s">
        <v>4014</v>
      </c>
    </row>
    <row r="1588">
      <c r="A1588" s="77" t="s">
        <v>4014</v>
      </c>
    </row>
    <row r="1589">
      <c r="A1589" s="77" t="s">
        <v>4014</v>
      </c>
    </row>
    <row r="1590">
      <c r="A1590" s="77" t="s">
        <v>4014</v>
      </c>
    </row>
    <row r="1591">
      <c r="A1591" s="77" t="s">
        <v>4014</v>
      </c>
    </row>
    <row r="1592">
      <c r="A1592" s="77" t="s">
        <v>4014</v>
      </c>
    </row>
    <row r="1593">
      <c r="A1593" s="77" t="s">
        <v>4014</v>
      </c>
    </row>
    <row r="1594">
      <c r="A1594" s="77" t="s">
        <v>4014</v>
      </c>
    </row>
    <row r="1595">
      <c r="A1595" s="77" t="s">
        <v>4014</v>
      </c>
    </row>
    <row r="1596">
      <c r="A1596" s="77" t="s">
        <v>4014</v>
      </c>
    </row>
    <row r="1597">
      <c r="A1597" s="77" t="s">
        <v>4014</v>
      </c>
    </row>
    <row r="1598">
      <c r="A1598" s="77" t="s">
        <v>4014</v>
      </c>
    </row>
    <row r="1599">
      <c r="A1599" s="77" t="s">
        <v>4014</v>
      </c>
    </row>
    <row r="1600">
      <c r="A1600" s="77" t="s">
        <v>4014</v>
      </c>
    </row>
    <row r="1601">
      <c r="A1601" s="77" t="s">
        <v>4014</v>
      </c>
    </row>
    <row r="1602">
      <c r="A1602" s="77" t="s">
        <v>4014</v>
      </c>
    </row>
    <row r="1603">
      <c r="A1603" s="77" t="s">
        <v>4014</v>
      </c>
    </row>
    <row r="1604">
      <c r="A1604" s="77" t="s">
        <v>4014</v>
      </c>
    </row>
    <row r="1605">
      <c r="A1605" s="77" t="s">
        <v>4014</v>
      </c>
    </row>
    <row r="1606">
      <c r="A1606" s="77" t="s">
        <v>4014</v>
      </c>
    </row>
    <row r="1607">
      <c r="A1607" s="77" t="s">
        <v>4014</v>
      </c>
    </row>
    <row r="1608">
      <c r="A1608" s="77" t="s">
        <v>4014</v>
      </c>
    </row>
    <row r="1609">
      <c r="A1609" s="77" t="s">
        <v>4014</v>
      </c>
    </row>
    <row r="1610">
      <c r="A1610" s="77" t="s">
        <v>4014</v>
      </c>
    </row>
    <row r="1611">
      <c r="A1611" s="77" t="s">
        <v>4014</v>
      </c>
    </row>
    <row r="1612">
      <c r="A1612" s="77" t="s">
        <v>4014</v>
      </c>
    </row>
    <row r="1613">
      <c r="A1613" s="77" t="s">
        <v>4014</v>
      </c>
    </row>
    <row r="1614">
      <c r="A1614" s="77" t="s">
        <v>4014</v>
      </c>
    </row>
    <row r="1615">
      <c r="A1615" s="77" t="s">
        <v>4014</v>
      </c>
    </row>
    <row r="1616">
      <c r="A1616" s="77" t="s">
        <v>4014</v>
      </c>
    </row>
    <row r="1617">
      <c r="A1617" s="77" t="s">
        <v>4014</v>
      </c>
    </row>
    <row r="1618">
      <c r="A1618" s="77" t="s">
        <v>4014</v>
      </c>
    </row>
    <row r="1619">
      <c r="A1619" s="77" t="s">
        <v>4014</v>
      </c>
    </row>
    <row r="1620">
      <c r="A1620" s="77" t="s">
        <v>4014</v>
      </c>
    </row>
    <row r="1621">
      <c r="A1621" s="77" t="s">
        <v>4014</v>
      </c>
    </row>
    <row r="1622">
      <c r="A1622" s="77" t="s">
        <v>4014</v>
      </c>
    </row>
    <row r="1623">
      <c r="A1623" s="77" t="s">
        <v>4014</v>
      </c>
    </row>
    <row r="1624">
      <c r="A1624" s="77" t="s">
        <v>4014</v>
      </c>
    </row>
    <row r="1625">
      <c r="A1625" s="77" t="s">
        <v>4014</v>
      </c>
    </row>
    <row r="1626">
      <c r="A1626" s="77" t="s">
        <v>4014</v>
      </c>
    </row>
    <row r="1627">
      <c r="A1627" s="77" t="s">
        <v>4014</v>
      </c>
    </row>
    <row r="1628">
      <c r="A1628" s="77" t="s">
        <v>4014</v>
      </c>
    </row>
    <row r="1629">
      <c r="A1629" s="77" t="s">
        <v>4014</v>
      </c>
    </row>
    <row r="1630">
      <c r="A1630" s="77" t="s">
        <v>4014</v>
      </c>
    </row>
    <row r="1631">
      <c r="A1631" s="77" t="s">
        <v>4014</v>
      </c>
    </row>
    <row r="1632">
      <c r="A1632" s="77" t="s">
        <v>4014</v>
      </c>
    </row>
    <row r="1633">
      <c r="A1633" s="77" t="s">
        <v>4014</v>
      </c>
    </row>
    <row r="1634">
      <c r="A1634" s="77" t="s">
        <v>4014</v>
      </c>
    </row>
    <row r="1635">
      <c r="A1635" s="77" t="s">
        <v>4014</v>
      </c>
    </row>
    <row r="1636">
      <c r="A1636" s="77" t="s">
        <v>4014</v>
      </c>
    </row>
    <row r="1637">
      <c r="A1637" s="77" t="s">
        <v>4014</v>
      </c>
    </row>
    <row r="1638">
      <c r="A1638" s="77" t="s">
        <v>4014</v>
      </c>
    </row>
    <row r="1639">
      <c r="A1639" s="77" t="s">
        <v>4014</v>
      </c>
    </row>
    <row r="1640">
      <c r="A1640" s="77" t="s">
        <v>4014</v>
      </c>
    </row>
    <row r="1641">
      <c r="A1641" s="77" t="s">
        <v>4014</v>
      </c>
    </row>
    <row r="1642">
      <c r="A1642" s="77" t="s">
        <v>4014</v>
      </c>
    </row>
    <row r="1643">
      <c r="A1643" s="77" t="s">
        <v>4014</v>
      </c>
    </row>
    <row r="1644">
      <c r="A1644" s="77" t="s">
        <v>4014</v>
      </c>
    </row>
    <row r="1645">
      <c r="A1645" s="77" t="s">
        <v>4014</v>
      </c>
    </row>
    <row r="1646">
      <c r="A1646" s="77" t="s">
        <v>4014</v>
      </c>
    </row>
    <row r="1647">
      <c r="A1647" s="77" t="s">
        <v>4014</v>
      </c>
    </row>
    <row r="1648">
      <c r="A1648" s="77" t="s">
        <v>4014</v>
      </c>
    </row>
    <row r="1649">
      <c r="A1649" s="77" t="s">
        <v>4014</v>
      </c>
    </row>
    <row r="1650">
      <c r="A1650" s="77" t="s">
        <v>4014</v>
      </c>
    </row>
    <row r="1651">
      <c r="A1651" s="77" t="s">
        <v>4014</v>
      </c>
    </row>
    <row r="1652">
      <c r="A1652" s="77" t="s">
        <v>4014</v>
      </c>
    </row>
    <row r="1653">
      <c r="A1653" s="77" t="s">
        <v>4014</v>
      </c>
    </row>
    <row r="1654">
      <c r="A1654" s="77" t="s">
        <v>4014</v>
      </c>
    </row>
    <row r="1655">
      <c r="A1655" s="77" t="s">
        <v>4014</v>
      </c>
    </row>
    <row r="1656">
      <c r="A1656" s="77" t="s">
        <v>4014</v>
      </c>
    </row>
    <row r="1657">
      <c r="A1657" s="77" t="s">
        <v>4014</v>
      </c>
    </row>
    <row r="1658">
      <c r="A1658" s="77" t="s">
        <v>4014</v>
      </c>
    </row>
    <row r="1659">
      <c r="A1659" s="77" t="s">
        <v>4014</v>
      </c>
    </row>
    <row r="1660">
      <c r="A1660" s="77" t="s">
        <v>4014</v>
      </c>
    </row>
    <row r="1661">
      <c r="A1661" s="77" t="s">
        <v>4014</v>
      </c>
    </row>
    <row r="1662">
      <c r="A1662" s="77" t="s">
        <v>4014</v>
      </c>
    </row>
    <row r="1663">
      <c r="A1663" s="77" t="s">
        <v>4014</v>
      </c>
    </row>
    <row r="1664">
      <c r="A1664" s="77" t="s">
        <v>4014</v>
      </c>
    </row>
    <row r="1665">
      <c r="A1665" s="77" t="s">
        <v>4014</v>
      </c>
    </row>
    <row r="1666">
      <c r="A1666" s="77" t="s">
        <v>4014</v>
      </c>
    </row>
    <row r="1667">
      <c r="A1667" s="77" t="s">
        <v>4014</v>
      </c>
    </row>
    <row r="1668">
      <c r="A1668" s="77" t="s">
        <v>4014</v>
      </c>
    </row>
    <row r="1669">
      <c r="A1669" s="77" t="s">
        <v>4014</v>
      </c>
    </row>
    <row r="1670">
      <c r="A1670" s="77" t="s">
        <v>4014</v>
      </c>
    </row>
    <row r="1671">
      <c r="A1671" s="77" t="s">
        <v>4014</v>
      </c>
    </row>
    <row r="1672">
      <c r="A1672" s="77" t="s">
        <v>4014</v>
      </c>
    </row>
    <row r="1673">
      <c r="A1673" s="77" t="s">
        <v>4014</v>
      </c>
    </row>
    <row r="1674">
      <c r="A1674" s="77" t="s">
        <v>4014</v>
      </c>
    </row>
    <row r="1675">
      <c r="A1675" s="77" t="s">
        <v>4014</v>
      </c>
    </row>
    <row r="1676">
      <c r="A1676" s="77" t="s">
        <v>4014</v>
      </c>
    </row>
    <row r="1677">
      <c r="A1677" s="77" t="s">
        <v>4014</v>
      </c>
    </row>
    <row r="1678">
      <c r="A1678" s="77" t="s">
        <v>4014</v>
      </c>
    </row>
    <row r="1679">
      <c r="A1679" s="77" t="s">
        <v>4014</v>
      </c>
    </row>
    <row r="1680">
      <c r="A1680" s="77" t="s">
        <v>4014</v>
      </c>
    </row>
    <row r="1681">
      <c r="A1681" s="77" t="s">
        <v>4014</v>
      </c>
    </row>
    <row r="1682">
      <c r="A1682" s="77" t="s">
        <v>4014</v>
      </c>
    </row>
    <row r="1683">
      <c r="A1683" s="77" t="s">
        <v>4014</v>
      </c>
    </row>
    <row r="1684">
      <c r="A1684" s="77" t="s">
        <v>4014</v>
      </c>
    </row>
    <row r="1685">
      <c r="A1685" s="77" t="s">
        <v>4014</v>
      </c>
    </row>
    <row r="1686">
      <c r="A1686" s="77" t="s">
        <v>4014</v>
      </c>
    </row>
    <row r="1687">
      <c r="A1687" s="77" t="s">
        <v>4014</v>
      </c>
    </row>
    <row r="1688">
      <c r="A1688" s="77" t="s">
        <v>4014</v>
      </c>
    </row>
    <row r="1689">
      <c r="A1689" s="77" t="s">
        <v>4014</v>
      </c>
    </row>
    <row r="1690">
      <c r="A1690" s="77" t="s">
        <v>4014</v>
      </c>
    </row>
    <row r="1691">
      <c r="A1691" s="77" t="s">
        <v>4014</v>
      </c>
    </row>
    <row r="1692">
      <c r="A1692" s="77" t="s">
        <v>4014</v>
      </c>
    </row>
    <row r="1693">
      <c r="A1693" s="77" t="s">
        <v>4014</v>
      </c>
    </row>
    <row r="1694">
      <c r="A1694" s="77" t="s">
        <v>4014</v>
      </c>
    </row>
    <row r="1695">
      <c r="A1695" s="77" t="s">
        <v>4014</v>
      </c>
    </row>
    <row r="1696">
      <c r="A1696" s="77" t="s">
        <v>4014</v>
      </c>
    </row>
    <row r="1697">
      <c r="A1697" s="77" t="s">
        <v>4014</v>
      </c>
    </row>
    <row r="1698">
      <c r="A1698" s="77" t="s">
        <v>4014</v>
      </c>
    </row>
    <row r="1699">
      <c r="A1699" s="77" t="s">
        <v>4014</v>
      </c>
    </row>
    <row r="1700">
      <c r="A1700" s="77" t="s">
        <v>4014</v>
      </c>
    </row>
    <row r="1701">
      <c r="A1701" s="77" t="s">
        <v>4014</v>
      </c>
    </row>
    <row r="1702">
      <c r="A1702" s="77" t="s">
        <v>4014</v>
      </c>
    </row>
    <row r="1703">
      <c r="A1703" s="77" t="s">
        <v>4014</v>
      </c>
    </row>
    <row r="1704">
      <c r="A1704" s="77" t="s">
        <v>4014</v>
      </c>
    </row>
    <row r="1705">
      <c r="A1705" s="77" t="s">
        <v>4014</v>
      </c>
    </row>
    <row r="1706">
      <c r="A1706" s="77" t="s">
        <v>4014</v>
      </c>
    </row>
    <row r="1707">
      <c r="A1707" s="77" t="s">
        <v>4014</v>
      </c>
    </row>
    <row r="1708">
      <c r="A1708" s="77" t="s">
        <v>4014</v>
      </c>
    </row>
    <row r="1709">
      <c r="A1709" s="77" t="s">
        <v>4014</v>
      </c>
    </row>
    <row r="1710">
      <c r="A1710" s="77" t="s">
        <v>4014</v>
      </c>
    </row>
    <row r="1711">
      <c r="A1711" s="77" t="s">
        <v>4014</v>
      </c>
    </row>
    <row r="1712">
      <c r="A1712" s="77" t="s">
        <v>4014</v>
      </c>
    </row>
    <row r="1713">
      <c r="A1713" s="77" t="s">
        <v>4014</v>
      </c>
    </row>
    <row r="1714">
      <c r="A1714" s="77" t="s">
        <v>4014</v>
      </c>
    </row>
    <row r="1715">
      <c r="A1715" s="77" t="s">
        <v>4014</v>
      </c>
    </row>
    <row r="1716">
      <c r="A1716" s="77" t="s">
        <v>4014</v>
      </c>
    </row>
    <row r="1717">
      <c r="A1717" s="77" t="s">
        <v>4014</v>
      </c>
    </row>
    <row r="1718">
      <c r="A1718" s="77" t="s">
        <v>4014</v>
      </c>
    </row>
    <row r="1719">
      <c r="A1719" s="77" t="s">
        <v>4014</v>
      </c>
    </row>
    <row r="1720">
      <c r="A1720" s="77" t="s">
        <v>4014</v>
      </c>
    </row>
    <row r="1721">
      <c r="A1721" s="77" t="s">
        <v>4014</v>
      </c>
    </row>
    <row r="1722">
      <c r="A1722" s="77" t="s">
        <v>4014</v>
      </c>
    </row>
    <row r="1723">
      <c r="A1723" s="77" t="s">
        <v>4014</v>
      </c>
    </row>
    <row r="1724">
      <c r="A1724" s="77" t="s">
        <v>4014</v>
      </c>
    </row>
    <row r="1725">
      <c r="A1725" s="77" t="s">
        <v>4014</v>
      </c>
    </row>
    <row r="1726">
      <c r="A1726" s="77" t="s">
        <v>4014</v>
      </c>
    </row>
    <row r="1727">
      <c r="A1727" s="77" t="s">
        <v>4014</v>
      </c>
    </row>
    <row r="1728">
      <c r="A1728" s="77" t="s">
        <v>4014</v>
      </c>
    </row>
    <row r="1729">
      <c r="A1729" s="77" t="s">
        <v>4014</v>
      </c>
    </row>
    <row r="1730">
      <c r="A1730" s="77" t="s">
        <v>4014</v>
      </c>
    </row>
    <row r="1731">
      <c r="A1731" s="77" t="s">
        <v>4014</v>
      </c>
    </row>
    <row r="1732">
      <c r="A1732" s="77" t="s">
        <v>4014</v>
      </c>
    </row>
    <row r="1733">
      <c r="A1733" s="77" t="s">
        <v>4014</v>
      </c>
    </row>
    <row r="1734">
      <c r="A1734" s="77" t="s">
        <v>4014</v>
      </c>
    </row>
    <row r="1735">
      <c r="A1735" s="77" t="s">
        <v>4014</v>
      </c>
    </row>
    <row r="1736">
      <c r="A1736" s="77" t="s">
        <v>4014</v>
      </c>
    </row>
    <row r="1737">
      <c r="A1737" s="77" t="s">
        <v>4014</v>
      </c>
    </row>
    <row r="1738">
      <c r="A1738" s="77" t="s">
        <v>4014</v>
      </c>
    </row>
    <row r="1739">
      <c r="A1739" s="77" t="s">
        <v>4014</v>
      </c>
    </row>
    <row r="1740">
      <c r="A1740" s="77" t="s">
        <v>4014</v>
      </c>
    </row>
    <row r="1741">
      <c r="A1741" s="77" t="s">
        <v>4014</v>
      </c>
    </row>
    <row r="1742">
      <c r="A1742" s="77" t="s">
        <v>4014</v>
      </c>
    </row>
    <row r="1743">
      <c r="A1743" s="77" t="s">
        <v>4014</v>
      </c>
    </row>
    <row r="1744">
      <c r="A1744" s="77" t="s">
        <v>4014</v>
      </c>
    </row>
    <row r="1745">
      <c r="A1745" s="77" t="s">
        <v>4014</v>
      </c>
    </row>
    <row r="1746">
      <c r="A1746" s="77" t="s">
        <v>4014</v>
      </c>
    </row>
    <row r="1747">
      <c r="A1747" s="77" t="s">
        <v>4014</v>
      </c>
    </row>
    <row r="1748">
      <c r="A1748" s="77" t="s">
        <v>4014</v>
      </c>
    </row>
    <row r="1749">
      <c r="A1749" s="77" t="s">
        <v>4014</v>
      </c>
    </row>
    <row r="1750">
      <c r="A1750" s="77" t="s">
        <v>4014</v>
      </c>
    </row>
    <row r="1751">
      <c r="A1751" s="77" t="s">
        <v>4014</v>
      </c>
    </row>
    <row r="1752">
      <c r="A1752" s="77" t="s">
        <v>4014</v>
      </c>
    </row>
    <row r="1753">
      <c r="A1753" s="77" t="s">
        <v>4014</v>
      </c>
    </row>
    <row r="1754">
      <c r="A1754" s="77" t="s">
        <v>4014</v>
      </c>
    </row>
    <row r="1755">
      <c r="A1755" s="77" t="s">
        <v>4014</v>
      </c>
    </row>
    <row r="1756">
      <c r="A1756" s="77" t="s">
        <v>4014</v>
      </c>
    </row>
    <row r="1757">
      <c r="A1757" s="77" t="s">
        <v>4014</v>
      </c>
    </row>
    <row r="1758">
      <c r="A1758" s="77" t="s">
        <v>4014</v>
      </c>
    </row>
    <row r="1759">
      <c r="A1759" s="77" t="s">
        <v>4014</v>
      </c>
    </row>
    <row r="1760">
      <c r="A1760" s="77" t="s">
        <v>4014</v>
      </c>
    </row>
    <row r="1761">
      <c r="A1761" s="77" t="s">
        <v>4014</v>
      </c>
    </row>
    <row r="1762">
      <c r="A1762" s="77" t="s">
        <v>4014</v>
      </c>
    </row>
    <row r="1763">
      <c r="A1763" s="77" t="s">
        <v>4014</v>
      </c>
    </row>
    <row r="1764">
      <c r="A1764" s="77" t="s">
        <v>4014</v>
      </c>
    </row>
    <row r="1765">
      <c r="A1765" s="77" t="s">
        <v>4014</v>
      </c>
    </row>
    <row r="1766">
      <c r="A1766" s="77" t="s">
        <v>4014</v>
      </c>
    </row>
    <row r="1767">
      <c r="A1767" s="77" t="s">
        <v>4014</v>
      </c>
    </row>
    <row r="1768">
      <c r="A1768" s="77" t="s">
        <v>4014</v>
      </c>
    </row>
    <row r="1769">
      <c r="A1769" s="77" t="s">
        <v>4014</v>
      </c>
    </row>
    <row r="1770">
      <c r="A1770" s="77" t="s">
        <v>4014</v>
      </c>
    </row>
    <row r="1771">
      <c r="A1771" s="77" t="s">
        <v>4014</v>
      </c>
    </row>
    <row r="1772">
      <c r="A1772" s="77" t="s">
        <v>4014</v>
      </c>
    </row>
    <row r="1773">
      <c r="A1773" s="77" t="s">
        <v>4014</v>
      </c>
    </row>
    <row r="1774">
      <c r="A1774" s="77" t="s">
        <v>4014</v>
      </c>
    </row>
    <row r="1775">
      <c r="A1775" s="77" t="s">
        <v>4014</v>
      </c>
    </row>
    <row r="1776">
      <c r="A1776" s="77" t="s">
        <v>4014</v>
      </c>
    </row>
    <row r="1777">
      <c r="A1777" s="77" t="s">
        <v>4014</v>
      </c>
    </row>
    <row r="1778">
      <c r="A1778" s="77" t="s">
        <v>4014</v>
      </c>
    </row>
    <row r="1779">
      <c r="A1779" s="77" t="s">
        <v>4014</v>
      </c>
    </row>
    <row r="1780">
      <c r="A1780" s="77" t="s">
        <v>4014</v>
      </c>
    </row>
    <row r="1781">
      <c r="A1781" s="77" t="s">
        <v>4014</v>
      </c>
    </row>
    <row r="1782">
      <c r="A1782" s="77" t="s">
        <v>4014</v>
      </c>
    </row>
    <row r="1783">
      <c r="A1783" s="77" t="s">
        <v>4014</v>
      </c>
    </row>
    <row r="1784">
      <c r="A1784" s="77" t="s">
        <v>4014</v>
      </c>
    </row>
    <row r="1785">
      <c r="A1785" s="77" t="s">
        <v>4014</v>
      </c>
    </row>
    <row r="1786">
      <c r="A1786" s="77" t="s">
        <v>4014</v>
      </c>
    </row>
    <row r="1787">
      <c r="A1787" s="77" t="s">
        <v>4014</v>
      </c>
    </row>
    <row r="1788">
      <c r="A1788" s="77" t="s">
        <v>4014</v>
      </c>
    </row>
    <row r="1789">
      <c r="A1789" s="77" t="s">
        <v>4014</v>
      </c>
    </row>
    <row r="1790">
      <c r="A1790" s="77" t="s">
        <v>4014</v>
      </c>
    </row>
    <row r="1791">
      <c r="A1791" s="77" t="s">
        <v>4014</v>
      </c>
    </row>
    <row r="1792">
      <c r="A1792" s="77" t="s">
        <v>4014</v>
      </c>
    </row>
    <row r="1793">
      <c r="A1793" s="77" t="s">
        <v>4014</v>
      </c>
    </row>
    <row r="1794">
      <c r="A1794" s="77" t="s">
        <v>4014</v>
      </c>
    </row>
    <row r="1795">
      <c r="A1795" s="77" t="s">
        <v>4014</v>
      </c>
    </row>
    <row r="1796">
      <c r="A1796" s="77" t="s">
        <v>4014</v>
      </c>
    </row>
    <row r="1797">
      <c r="A1797" s="77" t="s">
        <v>4014</v>
      </c>
    </row>
    <row r="1798">
      <c r="A1798" s="77" t="s">
        <v>4014</v>
      </c>
    </row>
    <row r="1799">
      <c r="A1799" s="77" t="s">
        <v>4014</v>
      </c>
    </row>
    <row r="1800">
      <c r="A1800" s="77" t="s">
        <v>4014</v>
      </c>
    </row>
    <row r="1801">
      <c r="A1801" s="77" t="s">
        <v>4014</v>
      </c>
    </row>
    <row r="1802">
      <c r="A1802" s="77" t="s">
        <v>4014</v>
      </c>
    </row>
    <row r="1803">
      <c r="A1803" s="77" t="s">
        <v>4014</v>
      </c>
    </row>
    <row r="1804">
      <c r="A1804" s="77" t="s">
        <v>4014</v>
      </c>
    </row>
    <row r="1805">
      <c r="A1805" s="77" t="s">
        <v>4014</v>
      </c>
    </row>
    <row r="1806">
      <c r="A1806" s="77" t="s">
        <v>4014</v>
      </c>
    </row>
    <row r="1807">
      <c r="A1807" s="77" t="s">
        <v>4014</v>
      </c>
    </row>
    <row r="1808">
      <c r="A1808" s="77" t="s">
        <v>4014</v>
      </c>
    </row>
    <row r="1809">
      <c r="A1809" s="77" t="s">
        <v>4014</v>
      </c>
    </row>
    <row r="1810">
      <c r="A1810" s="77" t="s">
        <v>4014</v>
      </c>
    </row>
    <row r="1811">
      <c r="A1811" s="77" t="s">
        <v>4014</v>
      </c>
    </row>
    <row r="1812">
      <c r="A1812" s="77" t="s">
        <v>4014</v>
      </c>
    </row>
    <row r="1813">
      <c r="A1813" s="77" t="s">
        <v>4014</v>
      </c>
    </row>
    <row r="1814">
      <c r="A1814" s="77" t="s">
        <v>4014</v>
      </c>
    </row>
    <row r="1815">
      <c r="A1815" s="77" t="s">
        <v>4014</v>
      </c>
    </row>
    <row r="1816">
      <c r="A1816" s="77" t="s">
        <v>4014</v>
      </c>
    </row>
    <row r="1817">
      <c r="A1817" s="77" t="s">
        <v>4014</v>
      </c>
    </row>
    <row r="1818">
      <c r="A1818" s="77" t="s">
        <v>4014</v>
      </c>
    </row>
    <row r="1819">
      <c r="A1819" s="77" t="s">
        <v>4014</v>
      </c>
    </row>
    <row r="1820">
      <c r="A1820" s="77" t="s">
        <v>4014</v>
      </c>
    </row>
    <row r="1821">
      <c r="A1821" s="77" t="s">
        <v>4014</v>
      </c>
    </row>
    <row r="1822">
      <c r="A1822" s="77" t="s">
        <v>4014</v>
      </c>
    </row>
    <row r="1823">
      <c r="A1823" s="77" t="s">
        <v>4014</v>
      </c>
    </row>
    <row r="1824">
      <c r="A1824" s="77" t="s">
        <v>4014</v>
      </c>
    </row>
    <row r="1825">
      <c r="A1825" s="77" t="s">
        <v>4014</v>
      </c>
    </row>
    <row r="1826">
      <c r="A1826" s="77" t="s">
        <v>4014</v>
      </c>
    </row>
    <row r="1827">
      <c r="A1827" s="77" t="s">
        <v>4014</v>
      </c>
    </row>
    <row r="1828">
      <c r="A1828" s="77" t="s">
        <v>4014</v>
      </c>
    </row>
    <row r="1829">
      <c r="A1829" s="77" t="s">
        <v>4014</v>
      </c>
    </row>
    <row r="1830">
      <c r="A1830" s="77" t="s">
        <v>4014</v>
      </c>
    </row>
    <row r="1831">
      <c r="A1831" s="77" t="s">
        <v>4014</v>
      </c>
    </row>
    <row r="1832">
      <c r="A1832" s="77" t="s">
        <v>4014</v>
      </c>
    </row>
    <row r="1833">
      <c r="A1833" s="77" t="s">
        <v>4014</v>
      </c>
    </row>
    <row r="1834">
      <c r="A1834" s="77" t="s">
        <v>4014</v>
      </c>
    </row>
    <row r="1835">
      <c r="A1835" s="77" t="s">
        <v>4014</v>
      </c>
    </row>
    <row r="1836">
      <c r="A1836" s="77" t="s">
        <v>4014</v>
      </c>
    </row>
    <row r="1837">
      <c r="A1837" s="77" t="s">
        <v>4014</v>
      </c>
    </row>
    <row r="1838">
      <c r="A1838" s="77" t="s">
        <v>4014</v>
      </c>
    </row>
    <row r="1839">
      <c r="A1839" s="77" t="s">
        <v>4014</v>
      </c>
    </row>
    <row r="1840">
      <c r="A1840" s="77" t="s">
        <v>4014</v>
      </c>
    </row>
    <row r="1841">
      <c r="A1841" s="77" t="s">
        <v>4014</v>
      </c>
    </row>
    <row r="1842">
      <c r="A1842" s="77" t="s">
        <v>4014</v>
      </c>
    </row>
    <row r="1843">
      <c r="A1843" s="77" t="s">
        <v>4014</v>
      </c>
    </row>
    <row r="1844">
      <c r="A1844" s="77" t="s">
        <v>4014</v>
      </c>
    </row>
    <row r="1845">
      <c r="A1845" s="77" t="s">
        <v>4014</v>
      </c>
    </row>
    <row r="1846">
      <c r="A1846" s="77" t="s">
        <v>4014</v>
      </c>
    </row>
    <row r="1847">
      <c r="A1847" s="77" t="s">
        <v>4014</v>
      </c>
    </row>
    <row r="1848">
      <c r="A1848" s="77" t="s">
        <v>4014</v>
      </c>
    </row>
    <row r="1849">
      <c r="A1849" s="77" t="s">
        <v>4014</v>
      </c>
    </row>
    <row r="1850">
      <c r="A1850" s="77" t="s">
        <v>4014</v>
      </c>
    </row>
    <row r="1851">
      <c r="A1851" s="77" t="s">
        <v>4014</v>
      </c>
    </row>
    <row r="1852">
      <c r="A1852" s="77" t="s">
        <v>4014</v>
      </c>
    </row>
    <row r="1853">
      <c r="A1853" s="77" t="s">
        <v>4014</v>
      </c>
    </row>
    <row r="1854">
      <c r="A1854" s="77" t="s">
        <v>4014</v>
      </c>
    </row>
    <row r="1855">
      <c r="A1855" s="77" t="s">
        <v>4014</v>
      </c>
    </row>
    <row r="1856">
      <c r="A1856" s="77" t="s">
        <v>4014</v>
      </c>
    </row>
    <row r="1857">
      <c r="A1857" s="77" t="s">
        <v>4014</v>
      </c>
    </row>
    <row r="1858">
      <c r="A1858" s="77" t="s">
        <v>4014</v>
      </c>
    </row>
    <row r="1859">
      <c r="A1859" s="77" t="s">
        <v>4014</v>
      </c>
    </row>
    <row r="1860">
      <c r="A1860" s="77" t="s">
        <v>4014</v>
      </c>
    </row>
    <row r="1861">
      <c r="A1861" s="77" t="s">
        <v>4014</v>
      </c>
    </row>
    <row r="1862">
      <c r="A1862" s="77" t="s">
        <v>4014</v>
      </c>
    </row>
    <row r="1863">
      <c r="A1863" s="77" t="s">
        <v>4014</v>
      </c>
    </row>
    <row r="1864">
      <c r="A1864" s="77" t="s">
        <v>4014</v>
      </c>
    </row>
    <row r="1865">
      <c r="A1865" s="77" t="s">
        <v>4014</v>
      </c>
    </row>
    <row r="1866">
      <c r="A1866" s="77" t="s">
        <v>4014</v>
      </c>
    </row>
    <row r="1867">
      <c r="A1867" s="77" t="s">
        <v>4014</v>
      </c>
    </row>
    <row r="1868">
      <c r="A1868" s="77" t="s">
        <v>4014</v>
      </c>
    </row>
    <row r="1869">
      <c r="A1869" s="77" t="s">
        <v>4014</v>
      </c>
    </row>
    <row r="1870">
      <c r="A1870" s="77" t="s">
        <v>4014</v>
      </c>
    </row>
    <row r="1871">
      <c r="A1871" s="77" t="s">
        <v>4014</v>
      </c>
    </row>
    <row r="1872">
      <c r="A1872" s="77" t="s">
        <v>4014</v>
      </c>
    </row>
    <row r="1873">
      <c r="A1873" s="77" t="s">
        <v>4014</v>
      </c>
    </row>
    <row r="1874">
      <c r="A1874" s="77" t="s">
        <v>4014</v>
      </c>
    </row>
    <row r="1875">
      <c r="A1875" s="77" t="s">
        <v>4014</v>
      </c>
    </row>
    <row r="1876">
      <c r="A1876" s="77" t="s">
        <v>4014</v>
      </c>
    </row>
    <row r="1877">
      <c r="A1877" s="77" t="s">
        <v>4014</v>
      </c>
    </row>
    <row r="1878">
      <c r="A1878" s="77" t="s">
        <v>4014</v>
      </c>
    </row>
    <row r="1879">
      <c r="A1879" s="77" t="s">
        <v>4014</v>
      </c>
    </row>
    <row r="1880">
      <c r="A1880" s="77" t="s">
        <v>4014</v>
      </c>
    </row>
    <row r="1881">
      <c r="A1881" s="77" t="s">
        <v>4014</v>
      </c>
    </row>
    <row r="1882">
      <c r="A1882" s="77" t="s">
        <v>4014</v>
      </c>
    </row>
    <row r="1883">
      <c r="A1883" s="77" t="s">
        <v>4014</v>
      </c>
    </row>
    <row r="1884">
      <c r="A1884" s="77" t="s">
        <v>4014</v>
      </c>
    </row>
    <row r="1885">
      <c r="A1885" s="77" t="s">
        <v>4014</v>
      </c>
    </row>
    <row r="1886">
      <c r="A1886" s="77" t="s">
        <v>4014</v>
      </c>
    </row>
    <row r="1887">
      <c r="A1887" s="77" t="s">
        <v>4014</v>
      </c>
    </row>
    <row r="1888">
      <c r="A1888" s="77" t="s">
        <v>4014</v>
      </c>
    </row>
    <row r="1889">
      <c r="A1889" s="77" t="s">
        <v>4014</v>
      </c>
    </row>
    <row r="1890">
      <c r="A1890" s="77" t="s">
        <v>4014</v>
      </c>
    </row>
    <row r="1891">
      <c r="A1891" s="77" t="s">
        <v>4014</v>
      </c>
    </row>
    <row r="1892">
      <c r="A1892" s="77" t="s">
        <v>4014</v>
      </c>
    </row>
    <row r="1893">
      <c r="A1893" s="77" t="s">
        <v>4014</v>
      </c>
    </row>
    <row r="1894">
      <c r="A1894" s="77" t="s">
        <v>4014</v>
      </c>
    </row>
    <row r="1895">
      <c r="A1895" s="77" t="s">
        <v>4014</v>
      </c>
    </row>
    <row r="1896">
      <c r="A1896" s="77" t="s">
        <v>4014</v>
      </c>
    </row>
    <row r="1897">
      <c r="A1897" s="77" t="s">
        <v>4014</v>
      </c>
    </row>
    <row r="1898">
      <c r="A1898" s="77" t="s">
        <v>4014</v>
      </c>
    </row>
    <row r="1899">
      <c r="A1899" s="77" t="s">
        <v>4014</v>
      </c>
    </row>
    <row r="1900">
      <c r="A1900" s="77" t="s">
        <v>4014</v>
      </c>
    </row>
    <row r="1901">
      <c r="A1901" s="77" t="s">
        <v>4014</v>
      </c>
    </row>
    <row r="1902">
      <c r="A1902" s="77" t="s">
        <v>4014</v>
      </c>
    </row>
    <row r="1903">
      <c r="A1903" s="77" t="s">
        <v>4014</v>
      </c>
    </row>
    <row r="1904">
      <c r="A1904" s="77" t="s">
        <v>4014</v>
      </c>
    </row>
    <row r="1905">
      <c r="A1905" s="77" t="s">
        <v>4014</v>
      </c>
    </row>
    <row r="1906">
      <c r="A1906" s="77" t="s">
        <v>4014</v>
      </c>
    </row>
    <row r="1907">
      <c r="A1907" s="77" t="s">
        <v>4014</v>
      </c>
    </row>
    <row r="1908">
      <c r="A1908" s="77" t="s">
        <v>4014</v>
      </c>
    </row>
    <row r="1909">
      <c r="A1909" s="77" t="s">
        <v>4014</v>
      </c>
    </row>
    <row r="1910">
      <c r="A1910" s="77" t="s">
        <v>4014</v>
      </c>
    </row>
    <row r="1911">
      <c r="A1911" s="77" t="s">
        <v>4014</v>
      </c>
    </row>
    <row r="1912">
      <c r="A1912" s="77" t="s">
        <v>4014</v>
      </c>
    </row>
    <row r="1913">
      <c r="A1913" s="77" t="s">
        <v>4014</v>
      </c>
    </row>
    <row r="1914">
      <c r="A1914" s="77" t="s">
        <v>4014</v>
      </c>
    </row>
    <row r="1915">
      <c r="A1915" s="77" t="s">
        <v>4014</v>
      </c>
    </row>
    <row r="1916">
      <c r="A1916" s="77" t="s">
        <v>4014</v>
      </c>
    </row>
    <row r="1917">
      <c r="A1917" s="77" t="s">
        <v>4014</v>
      </c>
    </row>
    <row r="1918">
      <c r="A1918" s="77" t="s">
        <v>4014</v>
      </c>
    </row>
    <row r="1919">
      <c r="A1919" s="77" t="s">
        <v>4014</v>
      </c>
    </row>
    <row r="1920">
      <c r="A1920" s="77" t="s">
        <v>4014</v>
      </c>
    </row>
    <row r="1921">
      <c r="A1921" s="77" t="s">
        <v>4014</v>
      </c>
    </row>
    <row r="1922">
      <c r="A1922" s="77" t="s">
        <v>4014</v>
      </c>
    </row>
    <row r="1923">
      <c r="A1923" s="77" t="s">
        <v>4014</v>
      </c>
    </row>
    <row r="1924">
      <c r="A1924" s="77" t="s">
        <v>4014</v>
      </c>
    </row>
    <row r="1925">
      <c r="A1925" s="77" t="s">
        <v>4014</v>
      </c>
    </row>
    <row r="1926">
      <c r="A1926" s="77" t="s">
        <v>4014</v>
      </c>
    </row>
    <row r="1927">
      <c r="A1927" s="77" t="s">
        <v>4014</v>
      </c>
    </row>
    <row r="1928">
      <c r="A1928" s="77" t="s">
        <v>4014</v>
      </c>
    </row>
    <row r="1929">
      <c r="A1929" s="77" t="s">
        <v>4014</v>
      </c>
    </row>
    <row r="1930">
      <c r="A1930" s="77" t="s">
        <v>4014</v>
      </c>
    </row>
    <row r="1931">
      <c r="A1931" s="77" t="s">
        <v>4014</v>
      </c>
    </row>
    <row r="1932">
      <c r="A1932" s="77" t="s">
        <v>4014</v>
      </c>
    </row>
  </sheetData>
  <drawing r:id="rId1"/>
</worksheet>
</file>